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<sst xmlns="http://schemas.openxmlformats.org/spreadsheetml/2006/main" count="195" uniqueCount="190">
  <si>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</si>
  <si>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</si>
  <si>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</si>
  <si>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</si>
  <si>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</si>
  <si>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</si>
  <si>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</si>
  <si>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</si>
  <si>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</si>
  <si>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</si>
  <si>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</si>
  <si>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</si>
  <si>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</si>
  <si>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</si>
  <si>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</si>
  <si>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</si>
  <si>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</si>
  <si>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</si>
  <si>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</si>
  <si>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</si>
  <si>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</si>
  <si>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</si>
  <si>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</si>
  <si>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</si>
  <si>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</si>
  <si>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</si>
  <si>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</si>
  <si>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</si>
  <si>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</si>
  <si>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</si>
  <si>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</si>
  <si>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</si>
  <si>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</si>
  <si>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</si>
  <si>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</si>
  <si>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</si>
  <si>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</si>
  <si>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</si>
  <si>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</si>
  <si>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</si>
  <si>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</si>
  <si>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</si>
  <si>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</si>
  <si>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</si>
  <si>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</si>
  <si>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</si>
  <si>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</si>
  <si>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</si>
  <si>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</si>
  <si>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</si>
  <si>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</si>
  <si>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</si>
  <si>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</si>
  <si>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</si>
  <si>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</si>
  <si>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</si>
  <si>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</si>
  <si>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</si>
  <si>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</si>
  <si>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</si>
  <si>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</si>
  <si>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</si>
  <si>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</si>
  <si>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</si>
  <si>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</si>
  <si>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</si>
  <si>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</si>
  <si>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</si>
  <si>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</si>
  <si>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</si>
  <si>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</si>
  <si>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</si>
  <si>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</si>
  <si>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</si>
  <si>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</si>
  <si>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</si>
  <si>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</si>
  <si>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</si>
  <si>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</si>
  <si>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</si>
  <si>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</si>
  <si>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</si>
  <si>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</si>
  <si>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</si>
  <si>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</si>
  <si>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</si>
  <si>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</si>
  <si>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</si>
  <si>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</si>
  <si>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</si>
  <si>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</si>
  <si>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</si>
  <si>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</si>
  <si>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</si>
  <si>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</si>
  <si>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</si>
  <si>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</si>
  <si>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</si>
  <si>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</si>
  <si>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</si>
  <si>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</si>
  <si>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</si>
  <si>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</si>
  <si>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</si>
  <si>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</si>
  <si>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</si>
  <si>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</si>
  <si>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</si>
  <si>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</si>
  <si>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</si>
  <si>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</si>
  <si>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</si>
  <si>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</si>
  <si>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</si>
  <si>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</si>
  <si>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</si>
  <si>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</si>
  <si>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</si>
  <si>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</si>
  <si>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</si>
  <si>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</si>
  <si>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</si>
  <si>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</si>
  <si>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</si>
  <si>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</si>
  <si>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</si>
  <si>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</si>
  <si>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</si>
  <si>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</si>
  <si>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</si>
  <si>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</si>
  <si>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</si>
  <si>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</si>
  <si>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</si>
  <si>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</si>
  <si>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</si>
  <si>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</si>
  <si>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</si>
  <si>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</si>
  <si>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</si>
  <si>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</si>
  <si>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</si>
  <si>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</si>
  <si>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</si>
  <si>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</si>
  <si>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</si>
  <si>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</si>
  <si>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</si>
  <si>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</si>
  <si>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</si>
  <si>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</si>
  <si>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</si>
  <si>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</si>
  <si>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</si>
  <si>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</si>
  <si>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</si>
  <si>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</si>
  <si>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</si>
  <si>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</si>
  <si>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</si>
  <si>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</si>
  <si>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</si>
  <si>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</si>
  <si>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</si>
  <si>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</si>
  <si>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</si>
  <si>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</si>
  <si>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</si>
  <si>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</si>
  <si>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</si>
  <si>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</si>
  <si>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</si>
  <si>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</si>
  <si>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</si>
  <si>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</si>
  <si>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</si>
  <si>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</si>
  <si>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</si>
  <si>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</si>
  <si>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</si>
  <si>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</si>
  <si>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</si>
  <si>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</si>
  <si>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</si>
  <si>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</si>
  <si>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</si>
  <si>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</si>
  <si>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</si>
  <si>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</si>
  <si>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04.09.2019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</si>
</sst>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4" fontId="0" fillId="55" borderId="15" xfId="94" applyNumberFormat="1" applyFont="1" applyFill="1" applyBorder="1" applyAlignment="1">
      <alignment horizontal="center" vertical="center"/>
      <protection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7"/>
  <sheetViews>
    <sheetView tabSelected="1" zoomScale="117" zoomScaleNormal="117" zoomScalePageLayoutView="0" workbookViewId="0" topLeftCell="B108">
      <selection activeCell="AD87" sqref="AD87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1"/>
      <c r="AE1" s="191"/>
      <c r="AF1" s="191"/>
      <c r="AG1" s="191"/>
    </row>
    <row r="2" ht="17.25" hidden="1">
      <c r="B2" s="7"/>
    </row>
    <row r="3" spans="1:33" ht="33" customHeight="1">
      <c r="A3" s="200" t="s">
        <v>42</v>
      </c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</row>
    <row r="4" spans="2:32" ht="15.75" customHeight="1">
      <c r="B4" s="7"/>
      <c r="AF4" s="116" t="s">
        <v>167</v>
      </c>
    </row>
    <row r="5" spans="1:33" ht="18.75" customHeight="1">
      <c r="A5" s="202" t="s">
        <v>34</v>
      </c>
      <c r="B5" s="204" t="s">
        <v>35</v>
      </c>
      <c r="AB5" s="187" t="s">
        <v>166</v>
      </c>
      <c r="AC5" s="187" t="s">
        <v>79</v>
      </c>
      <c r="AD5" s="189" t="s">
        <v>51</v>
      </c>
      <c r="AE5" s="61" t="s">
        <v>53</v>
      </c>
      <c r="AF5" s="192" t="s">
        <v>189</v>
      </c>
      <c r="AG5" s="189" t="s">
        <v>165</v>
      </c>
    </row>
    <row r="6" spans="1:33" ht="22.5" customHeight="1" thickBot="1">
      <c r="A6" s="203"/>
      <c r="B6" s="20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8"/>
      <c r="AC6" s="188"/>
      <c r="AD6" s="190"/>
      <c r="AE6" s="60" t="s">
        <v>52</v>
      </c>
      <c r="AF6" s="193"/>
      <c r="AG6" s="190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6" t="s">
        <v>27</v>
      </c>
      <c r="B8" s="127" t="s">
        <v>58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 t="e">
        <f>#REF!</f>
        <v>#REF!</v>
      </c>
      <c r="AC8" s="73"/>
    </row>
    <row r="9" spans="1:33" ht="21" customHeight="1" thickBot="1">
      <c r="A9" s="194" t="s">
        <v>168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6"/>
    </row>
    <row r="10" spans="1:33" ht="33" customHeight="1">
      <c r="A10" s="130" t="s">
        <v>41</v>
      </c>
      <c r="B10" s="131" t="s">
        <v>80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>
        <f aca="true" t="shared" si="0" ref="AB10:AB81">AC10+AD10</f>
        <v>13850868.859999998</v>
      </c>
      <c r="AC10" s="85"/>
      <c r="AD10" s="134">
        <f>SUM(AD11:AD47)</f>
        <v>13850868.859999998</v>
      </c>
      <c r="AE10" s="134">
        <f>SUM(AE11:AE47)</f>
        <v>13850868.859999998</v>
      </c>
      <c r="AF10" s="134">
        <f>SUM(AF11:AF47)</f>
        <v>3188961.4200000004</v>
      </c>
      <c r="AG10" s="135">
        <f>AF10/AB10*100</f>
        <v>23.023547852722945</v>
      </c>
    </row>
    <row r="11" spans="1:33" ht="51.75">
      <c r="A11" s="72" t="s">
        <v>27</v>
      </c>
      <c r="B11" s="105" t="s">
        <v>140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49">
        <f>AC11+AD11</f>
        <v>10000000</v>
      </c>
      <c r="AC11" s="104"/>
      <c r="AD11" s="206">
        <v>10000000</v>
      </c>
      <c r="AE11" s="92">
        <f aca="true" t="shared" si="1" ref="AE11:AE16">AD11</f>
        <v>10000000</v>
      </c>
      <c r="AF11" s="124">
        <f>224258.97+124037.95+71012.9+68434.1+162188.61+251313.75</f>
        <v>901246.2799999999</v>
      </c>
      <c r="AG11" s="118">
        <f>AF11/AB11*100</f>
        <v>9.012462799999998</v>
      </c>
    </row>
    <row r="12" spans="1:33" ht="25.5">
      <c r="A12" s="72" t="s">
        <v>62</v>
      </c>
      <c r="B12" s="105" t="s">
        <v>177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49">
        <f>AC12+AD12</f>
        <v>208269</v>
      </c>
      <c r="AC12" s="104"/>
      <c r="AD12" s="206">
        <v>208269</v>
      </c>
      <c r="AE12" s="92">
        <f>AD12</f>
        <v>208269</v>
      </c>
      <c r="AF12" s="92">
        <f>204691.28+2497.72+1080</f>
        <v>208269</v>
      </c>
      <c r="AG12" s="118">
        <f aca="true" t="shared" si="2" ref="AG12:AG74">AF12/AB12*100</f>
        <v>100</v>
      </c>
    </row>
    <row r="13" spans="1:33" ht="33" customHeight="1">
      <c r="A13" s="72" t="s">
        <v>63</v>
      </c>
      <c r="B13" s="105" t="s">
        <v>135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49">
        <f>AC13+AD13</f>
        <v>800000</v>
      </c>
      <c r="AC13" s="104"/>
      <c r="AD13" s="206">
        <v>800000</v>
      </c>
      <c r="AE13" s="92">
        <f t="shared" si="1"/>
        <v>800000</v>
      </c>
      <c r="AF13" s="168"/>
      <c r="AG13" s="118">
        <f t="shared" si="2"/>
        <v>0</v>
      </c>
    </row>
    <row r="14" spans="1:33" ht="33" customHeight="1">
      <c r="A14" s="72" t="s">
        <v>64</v>
      </c>
      <c r="B14" s="105" t="s">
        <v>139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49">
        <f>AC14+AD14</f>
        <v>299580.28</v>
      </c>
      <c r="AC14" s="104"/>
      <c r="AD14" s="206">
        <v>299580.28</v>
      </c>
      <c r="AE14" s="92">
        <f t="shared" si="1"/>
        <v>299580.28</v>
      </c>
      <c r="AF14" s="92">
        <v>299580.28</v>
      </c>
      <c r="AG14" s="118">
        <f t="shared" si="2"/>
        <v>100</v>
      </c>
    </row>
    <row r="15" spans="1:33" ht="26.25" customHeight="1">
      <c r="A15" s="72" t="s">
        <v>65</v>
      </c>
      <c r="B15" s="105" t="s">
        <v>105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149">
        <f t="shared" si="0"/>
        <v>162750</v>
      </c>
      <c r="AC15" s="66"/>
      <c r="AD15" s="206">
        <v>162750</v>
      </c>
      <c r="AE15" s="92">
        <f t="shared" si="1"/>
        <v>162750</v>
      </c>
      <c r="AF15" s="124">
        <f>75281.37+4763</f>
        <v>80044.37</v>
      </c>
      <c r="AG15" s="118">
        <f t="shared" si="2"/>
        <v>49.18240860215054</v>
      </c>
    </row>
    <row r="16" spans="1:33" ht="26.25" customHeight="1">
      <c r="A16" s="72" t="s">
        <v>66</v>
      </c>
      <c r="B16" s="105" t="s">
        <v>178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49">
        <f t="shared" si="0"/>
        <v>351750</v>
      </c>
      <c r="AC16" s="66"/>
      <c r="AD16" s="206">
        <v>351750</v>
      </c>
      <c r="AE16" s="92">
        <f t="shared" si="1"/>
        <v>351750</v>
      </c>
      <c r="AF16" s="124">
        <v>350723</v>
      </c>
      <c r="AG16" s="118">
        <f t="shared" si="2"/>
        <v>99.70803127221038</v>
      </c>
    </row>
    <row r="17" spans="1:33" ht="27" customHeight="1">
      <c r="A17" s="72" t="s">
        <v>67</v>
      </c>
      <c r="B17" s="105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49">
        <f t="shared" si="0"/>
        <v>4000</v>
      </c>
      <c r="AC17" s="66"/>
      <c r="AD17" s="206">
        <v>4000</v>
      </c>
      <c r="AE17" s="92">
        <f aca="true" t="shared" si="3" ref="AE17:AE47">AD17</f>
        <v>4000</v>
      </c>
      <c r="AF17" s="92">
        <v>813.5</v>
      </c>
      <c r="AG17" s="118">
        <f t="shared" si="2"/>
        <v>20.3375</v>
      </c>
    </row>
    <row r="18" spans="1:33" ht="24.75" customHeight="1">
      <c r="A18" s="72" t="s">
        <v>68</v>
      </c>
      <c r="B18" s="105" t="s">
        <v>141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49">
        <f t="shared" si="0"/>
        <v>136500</v>
      </c>
      <c r="AC18" s="66"/>
      <c r="AD18" s="206">
        <v>136500</v>
      </c>
      <c r="AE18" s="92">
        <f t="shared" si="3"/>
        <v>136500</v>
      </c>
      <c r="AF18" s="168"/>
      <c r="AG18" s="118">
        <f t="shared" si="2"/>
        <v>0</v>
      </c>
    </row>
    <row r="19" spans="1:33" ht="28.5" customHeight="1">
      <c r="A19" s="72" t="s">
        <v>69</v>
      </c>
      <c r="B19" s="105" t="s">
        <v>142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49">
        <f t="shared" si="0"/>
        <v>105000</v>
      </c>
      <c r="AC19" s="66"/>
      <c r="AD19" s="206">
        <v>105000</v>
      </c>
      <c r="AE19" s="92">
        <f t="shared" si="3"/>
        <v>105000</v>
      </c>
      <c r="AF19" s="124">
        <f>1303.58+82218+922.25</f>
        <v>84443.83</v>
      </c>
      <c r="AG19" s="118">
        <f t="shared" si="2"/>
        <v>80.42269523809524</v>
      </c>
    </row>
    <row r="20" spans="1:33" ht="24" customHeight="1">
      <c r="A20" s="72" t="s">
        <v>70</v>
      </c>
      <c r="B20" s="105" t="s">
        <v>143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49">
        <f t="shared" si="0"/>
        <v>3000</v>
      </c>
      <c r="AC20" s="66"/>
      <c r="AD20" s="206">
        <v>3000</v>
      </c>
      <c r="AE20" s="92">
        <f t="shared" si="3"/>
        <v>3000</v>
      </c>
      <c r="AF20" s="124">
        <v>2508.74</v>
      </c>
      <c r="AG20" s="118">
        <f t="shared" si="2"/>
        <v>83.62466666666666</v>
      </c>
    </row>
    <row r="21" spans="1:33" ht="27" customHeight="1">
      <c r="A21" s="72" t="s">
        <v>71</v>
      </c>
      <c r="B21" s="105" t="s">
        <v>144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49">
        <f t="shared" si="0"/>
        <v>3000</v>
      </c>
      <c r="AC21" s="66"/>
      <c r="AD21" s="206">
        <v>3000</v>
      </c>
      <c r="AE21" s="92">
        <f t="shared" si="3"/>
        <v>3000</v>
      </c>
      <c r="AF21" s="124">
        <v>1962.84</v>
      </c>
      <c r="AG21" s="118">
        <f t="shared" si="2"/>
        <v>65.428</v>
      </c>
    </row>
    <row r="22" spans="1:33" ht="25.5" customHeight="1">
      <c r="A22" s="72" t="s">
        <v>81</v>
      </c>
      <c r="B22" s="105" t="s">
        <v>145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49">
        <f t="shared" si="0"/>
        <v>1100</v>
      </c>
      <c r="AC22" s="66"/>
      <c r="AD22" s="206">
        <v>1100</v>
      </c>
      <c r="AE22" s="92">
        <f t="shared" si="3"/>
        <v>1100</v>
      </c>
      <c r="AF22" s="168"/>
      <c r="AG22" s="118">
        <f t="shared" si="2"/>
        <v>0</v>
      </c>
    </row>
    <row r="23" spans="1:33" ht="27" customHeight="1">
      <c r="A23" s="72" t="s">
        <v>82</v>
      </c>
      <c r="B23" s="105" t="s">
        <v>146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49">
        <f t="shared" si="0"/>
        <v>293150.76</v>
      </c>
      <c r="AC23" s="66"/>
      <c r="AD23" s="206">
        <v>293150.76</v>
      </c>
      <c r="AE23" s="92">
        <f t="shared" si="3"/>
        <v>293150.76</v>
      </c>
      <c r="AF23" s="92">
        <f>18326+6278+133727+131019.76+2700</f>
        <v>292050.76</v>
      </c>
      <c r="AG23" s="118">
        <f t="shared" si="2"/>
        <v>99.62476645122803</v>
      </c>
    </row>
    <row r="24" spans="1:33" ht="38.25" customHeight="1">
      <c r="A24" s="72" t="s">
        <v>83</v>
      </c>
      <c r="B24" s="105" t="s">
        <v>107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49">
        <f t="shared" si="0"/>
        <v>50000</v>
      </c>
      <c r="AC24" s="66"/>
      <c r="AD24" s="206">
        <v>50000</v>
      </c>
      <c r="AE24" s="92">
        <f t="shared" si="3"/>
        <v>50000</v>
      </c>
      <c r="AF24" s="168"/>
      <c r="AG24" s="118">
        <f t="shared" si="2"/>
        <v>0</v>
      </c>
    </row>
    <row r="25" spans="1:33" ht="27.75" customHeight="1">
      <c r="A25" s="72" t="s">
        <v>84</v>
      </c>
      <c r="B25" s="105" t="s">
        <v>147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49">
        <f t="shared" si="0"/>
        <v>6522.97</v>
      </c>
      <c r="AC25" s="66"/>
      <c r="AD25" s="206">
        <v>6522.97</v>
      </c>
      <c r="AE25" s="92">
        <f t="shared" si="3"/>
        <v>6522.97</v>
      </c>
      <c r="AF25" s="92">
        <v>5922.97</v>
      </c>
      <c r="AG25" s="118">
        <f t="shared" si="2"/>
        <v>90.801736019022</v>
      </c>
    </row>
    <row r="26" spans="1:33" ht="29.25" customHeight="1">
      <c r="A26" s="72" t="s">
        <v>85</v>
      </c>
      <c r="B26" s="105" t="s">
        <v>148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49">
        <f t="shared" si="0"/>
        <v>6522.97</v>
      </c>
      <c r="AC26" s="66"/>
      <c r="AD26" s="206">
        <v>6522.97</v>
      </c>
      <c r="AE26" s="92">
        <f t="shared" si="3"/>
        <v>6522.97</v>
      </c>
      <c r="AF26" s="92">
        <v>5922.97</v>
      </c>
      <c r="AG26" s="118">
        <f t="shared" si="2"/>
        <v>90.801736019022</v>
      </c>
    </row>
    <row r="27" spans="1:33" ht="28.5" customHeight="1">
      <c r="A27" s="72" t="s">
        <v>86</v>
      </c>
      <c r="B27" s="105" t="s">
        <v>149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49">
        <f t="shared" si="0"/>
        <v>8508.04</v>
      </c>
      <c r="AC27" s="66"/>
      <c r="AD27" s="206">
        <v>8508.04</v>
      </c>
      <c r="AE27" s="92">
        <f t="shared" si="3"/>
        <v>8508.04</v>
      </c>
      <c r="AF27" s="92">
        <v>7908.04</v>
      </c>
      <c r="AG27" s="118">
        <f t="shared" si="2"/>
        <v>92.94784697768227</v>
      </c>
    </row>
    <row r="28" spans="1:33" ht="30" customHeight="1">
      <c r="A28" s="72" t="s">
        <v>87</v>
      </c>
      <c r="B28" s="105" t="s">
        <v>150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49">
        <f t="shared" si="0"/>
        <v>8508.04</v>
      </c>
      <c r="AC28" s="66"/>
      <c r="AD28" s="206">
        <v>8508.04</v>
      </c>
      <c r="AE28" s="92">
        <f t="shared" si="3"/>
        <v>8508.04</v>
      </c>
      <c r="AF28" s="92">
        <v>7908.04</v>
      </c>
      <c r="AG28" s="118">
        <f t="shared" si="2"/>
        <v>92.94784697768227</v>
      </c>
    </row>
    <row r="29" spans="1:33" ht="33" customHeight="1">
      <c r="A29" s="72" t="s">
        <v>88</v>
      </c>
      <c r="B29" s="105" t="s">
        <v>151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49">
        <f t="shared" si="0"/>
        <v>25886.85</v>
      </c>
      <c r="AC29" s="66"/>
      <c r="AD29" s="206">
        <v>25886.85</v>
      </c>
      <c r="AE29" s="92">
        <f t="shared" si="3"/>
        <v>25886.85</v>
      </c>
      <c r="AF29" s="92">
        <v>25286.85</v>
      </c>
      <c r="AG29" s="118">
        <f t="shared" si="2"/>
        <v>97.6822208959375</v>
      </c>
    </row>
    <row r="30" spans="1:33" ht="30.75" customHeight="1">
      <c r="A30" s="72" t="s">
        <v>89</v>
      </c>
      <c r="B30" s="105" t="s">
        <v>152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49">
        <f t="shared" si="0"/>
        <v>6545.25</v>
      </c>
      <c r="AC30" s="66"/>
      <c r="AD30" s="206">
        <v>6545.25</v>
      </c>
      <c r="AE30" s="92">
        <f t="shared" si="3"/>
        <v>6545.25</v>
      </c>
      <c r="AF30" s="92">
        <v>5945.25</v>
      </c>
      <c r="AG30" s="118">
        <f t="shared" si="2"/>
        <v>90.8330468660479</v>
      </c>
    </row>
    <row r="31" spans="1:33" ht="29.25" customHeight="1">
      <c r="A31" s="72" t="s">
        <v>90</v>
      </c>
      <c r="B31" s="105" t="s">
        <v>153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49">
        <f t="shared" si="0"/>
        <v>60000</v>
      </c>
      <c r="AC31" s="66"/>
      <c r="AD31" s="206">
        <v>60000</v>
      </c>
      <c r="AE31" s="92">
        <f t="shared" si="3"/>
        <v>60000</v>
      </c>
      <c r="AF31" s="168"/>
      <c r="AG31" s="118">
        <f t="shared" si="2"/>
        <v>0</v>
      </c>
    </row>
    <row r="32" spans="1:33" ht="26.25" customHeight="1">
      <c r="A32" s="72" t="s">
        <v>91</v>
      </c>
      <c r="B32" s="105" t="s">
        <v>154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49">
        <f t="shared" si="0"/>
        <v>64000</v>
      </c>
      <c r="AC32" s="66"/>
      <c r="AD32" s="206">
        <v>64000</v>
      </c>
      <c r="AE32" s="92">
        <f t="shared" si="3"/>
        <v>64000</v>
      </c>
      <c r="AF32" s="168"/>
      <c r="AG32" s="118">
        <f t="shared" si="2"/>
        <v>0</v>
      </c>
    </row>
    <row r="33" spans="1:33" ht="29.25" customHeight="1">
      <c r="A33" s="72" t="s">
        <v>92</v>
      </c>
      <c r="B33" s="105" t="s">
        <v>155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49">
        <f t="shared" si="0"/>
        <v>5000</v>
      </c>
      <c r="AC33" s="66"/>
      <c r="AD33" s="206">
        <v>5000</v>
      </c>
      <c r="AE33" s="92">
        <f t="shared" si="3"/>
        <v>5000</v>
      </c>
      <c r="AF33" s="92">
        <v>2300</v>
      </c>
      <c r="AG33" s="118">
        <f t="shared" si="2"/>
        <v>46</v>
      </c>
    </row>
    <row r="34" spans="1:33" ht="27.75" customHeight="1">
      <c r="A34" s="72" t="s">
        <v>93</v>
      </c>
      <c r="B34" s="105" t="s">
        <v>156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49">
        <f t="shared" si="0"/>
        <v>60000</v>
      </c>
      <c r="AC34" s="66"/>
      <c r="AD34" s="206">
        <v>60000</v>
      </c>
      <c r="AE34" s="92">
        <f t="shared" si="3"/>
        <v>60000</v>
      </c>
      <c r="AF34" s="168"/>
      <c r="AG34" s="118">
        <f t="shared" si="2"/>
        <v>0</v>
      </c>
    </row>
    <row r="35" spans="1:33" ht="35.25" customHeight="1">
      <c r="A35" s="72" t="s">
        <v>94</v>
      </c>
      <c r="B35" s="105" t="s">
        <v>157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49">
        <f t="shared" si="0"/>
        <v>62000</v>
      </c>
      <c r="AC35" s="66"/>
      <c r="AD35" s="206">
        <v>62000</v>
      </c>
      <c r="AE35" s="92">
        <f t="shared" si="3"/>
        <v>62000</v>
      </c>
      <c r="AF35" s="168"/>
      <c r="AG35" s="118">
        <f t="shared" si="2"/>
        <v>0</v>
      </c>
    </row>
    <row r="36" spans="1:33" ht="27.75" customHeight="1">
      <c r="A36" s="72" t="s">
        <v>95</v>
      </c>
      <c r="B36" s="105" t="s">
        <v>108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49">
        <f t="shared" si="0"/>
        <v>61484.63</v>
      </c>
      <c r="AC36" s="66"/>
      <c r="AD36" s="206">
        <v>61484.63</v>
      </c>
      <c r="AE36" s="92">
        <f t="shared" si="3"/>
        <v>61484.63</v>
      </c>
      <c r="AF36" s="124">
        <v>61484.63</v>
      </c>
      <c r="AG36" s="118">
        <f t="shared" si="2"/>
        <v>100</v>
      </c>
    </row>
    <row r="37" spans="1:33" ht="36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49">
        <f t="shared" si="0"/>
        <v>61497.52</v>
      </c>
      <c r="AC37" s="66"/>
      <c r="AD37" s="206">
        <v>61497.52</v>
      </c>
      <c r="AE37" s="92">
        <f t="shared" si="3"/>
        <v>61497.52</v>
      </c>
      <c r="AF37" s="124">
        <v>61497.52</v>
      </c>
      <c r="AG37" s="118">
        <f t="shared" si="2"/>
        <v>100</v>
      </c>
    </row>
    <row r="38" spans="1:33" ht="33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49">
        <f t="shared" si="0"/>
        <v>65099.99999999999</v>
      </c>
      <c r="AC38" s="66"/>
      <c r="AD38" s="206">
        <v>65099.99999999999</v>
      </c>
      <c r="AE38" s="92">
        <f t="shared" si="3"/>
        <v>65099.99999999999</v>
      </c>
      <c r="AF38" s="168"/>
      <c r="AG38" s="118">
        <f t="shared" si="2"/>
        <v>0</v>
      </c>
    </row>
    <row r="39" spans="1:33" ht="27.75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49">
        <f t="shared" si="0"/>
        <v>110250</v>
      </c>
      <c r="AC39" s="66"/>
      <c r="AD39" s="206">
        <v>110250</v>
      </c>
      <c r="AE39" s="92">
        <f t="shared" si="3"/>
        <v>110250</v>
      </c>
      <c r="AF39" s="168"/>
      <c r="AG39" s="118">
        <f t="shared" si="2"/>
        <v>0</v>
      </c>
    </row>
    <row r="40" spans="1:33" ht="33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49">
        <f t="shared" si="0"/>
        <v>37800</v>
      </c>
      <c r="AC40" s="66"/>
      <c r="AD40" s="206">
        <v>37800</v>
      </c>
      <c r="AE40" s="92">
        <f t="shared" si="3"/>
        <v>37800</v>
      </c>
      <c r="AF40" s="168"/>
      <c r="AG40" s="118">
        <f t="shared" si="2"/>
        <v>0</v>
      </c>
    </row>
    <row r="41" spans="1:33" ht="24" customHeight="1">
      <c r="A41" s="72" t="s">
        <v>100</v>
      </c>
      <c r="B41" s="105" t="s">
        <v>158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49">
        <f t="shared" si="0"/>
        <v>308151.95</v>
      </c>
      <c r="AC41" s="66"/>
      <c r="AD41" s="206">
        <v>308151.95</v>
      </c>
      <c r="AE41" s="92">
        <f t="shared" si="3"/>
        <v>308151.95</v>
      </c>
      <c r="AF41" s="92">
        <v>308151.95</v>
      </c>
      <c r="AG41" s="118">
        <f t="shared" si="2"/>
        <v>100</v>
      </c>
    </row>
    <row r="42" spans="1:33" ht="33.75" customHeight="1">
      <c r="A42" s="72" t="s">
        <v>101</v>
      </c>
      <c r="B42" s="105" t="s">
        <v>159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49">
        <f t="shared" si="0"/>
        <v>1717</v>
      </c>
      <c r="AC42" s="66"/>
      <c r="AD42" s="206">
        <v>1717</v>
      </c>
      <c r="AE42" s="92">
        <f t="shared" si="3"/>
        <v>1717</v>
      </c>
      <c r="AF42" s="124">
        <v>1717</v>
      </c>
      <c r="AG42" s="118">
        <f t="shared" si="2"/>
        <v>100</v>
      </c>
    </row>
    <row r="43" spans="1:33" ht="39" customHeight="1">
      <c r="A43" s="72" t="s">
        <v>102</v>
      </c>
      <c r="B43" s="105" t="s">
        <v>160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49">
        <f t="shared" si="0"/>
        <v>214401.6</v>
      </c>
      <c r="AC43" s="66"/>
      <c r="AD43" s="206">
        <v>214401.6</v>
      </c>
      <c r="AE43" s="92">
        <f t="shared" si="3"/>
        <v>214401.6</v>
      </c>
      <c r="AF43" s="124">
        <f>6480+207921.6</f>
        <v>214401.6</v>
      </c>
      <c r="AG43" s="118">
        <f t="shared" si="2"/>
        <v>100</v>
      </c>
    </row>
    <row r="44" spans="1:33" ht="39" customHeight="1">
      <c r="A44" s="72" t="s">
        <v>131</v>
      </c>
      <c r="B44" s="105" t="s">
        <v>161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49">
        <f t="shared" si="0"/>
        <v>540</v>
      </c>
      <c r="AC44" s="66"/>
      <c r="AD44" s="206">
        <v>540</v>
      </c>
      <c r="AE44" s="92">
        <f t="shared" si="3"/>
        <v>540</v>
      </c>
      <c r="AF44" s="124">
        <v>540</v>
      </c>
      <c r="AG44" s="118">
        <f t="shared" si="2"/>
        <v>100</v>
      </c>
    </row>
    <row r="45" spans="1:33" ht="28.5" customHeight="1">
      <c r="A45" s="72" t="s">
        <v>132</v>
      </c>
      <c r="B45" s="105" t="s">
        <v>113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49">
        <f t="shared" si="0"/>
        <v>116666</v>
      </c>
      <c r="AC45" s="66"/>
      <c r="AD45" s="206">
        <v>116666</v>
      </c>
      <c r="AE45" s="92">
        <f t="shared" si="3"/>
        <v>116666</v>
      </c>
      <c r="AF45" s="124">
        <f>114641+1350+675</f>
        <v>116666</v>
      </c>
      <c r="AG45" s="118">
        <f t="shared" si="2"/>
        <v>100</v>
      </c>
    </row>
    <row r="46" spans="1:33" ht="27" customHeight="1">
      <c r="A46" s="72" t="s">
        <v>133</v>
      </c>
      <c r="B46" s="105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49">
        <f t="shared" si="0"/>
        <v>116666</v>
      </c>
      <c r="AC46" s="63"/>
      <c r="AD46" s="206">
        <v>116666</v>
      </c>
      <c r="AE46" s="92">
        <f t="shared" si="3"/>
        <v>116666</v>
      </c>
      <c r="AF46" s="124">
        <f>114641+1350+675</f>
        <v>116666</v>
      </c>
      <c r="AG46" s="118">
        <f t="shared" si="2"/>
        <v>100</v>
      </c>
    </row>
    <row r="47" spans="1:33" ht="24.75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49">
        <f t="shared" si="0"/>
        <v>25000</v>
      </c>
      <c r="AC47" s="74"/>
      <c r="AD47" s="206">
        <v>25000</v>
      </c>
      <c r="AE47" s="92">
        <f t="shared" si="3"/>
        <v>25000</v>
      </c>
      <c r="AF47" s="124">
        <v>25000</v>
      </c>
      <c r="AG47" s="118">
        <f t="shared" si="2"/>
        <v>100</v>
      </c>
    </row>
    <row r="48" spans="1:33" ht="42.75" customHeight="1">
      <c r="A48" s="84" t="s">
        <v>39</v>
      </c>
      <c r="B48" s="97" t="s">
        <v>118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54">
        <f>AB49</f>
        <v>601264</v>
      </c>
      <c r="AC48" s="99"/>
      <c r="AD48" s="100">
        <f>AD49</f>
        <v>601264</v>
      </c>
      <c r="AE48" s="86">
        <f>AE49</f>
        <v>601264</v>
      </c>
      <c r="AF48" s="86">
        <f>AF49</f>
        <v>596639</v>
      </c>
      <c r="AG48" s="117">
        <f t="shared" si="2"/>
        <v>99.2307871417547</v>
      </c>
    </row>
    <row r="49" spans="1:33" ht="51.75">
      <c r="A49" s="96" t="s">
        <v>54</v>
      </c>
      <c r="B49" s="105" t="s">
        <v>162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65">
        <f>AD49</f>
        <v>601264</v>
      </c>
      <c r="AC49" s="74"/>
      <c r="AD49" s="75">
        <v>601264</v>
      </c>
      <c r="AE49" s="75">
        <f>AD49</f>
        <v>601264</v>
      </c>
      <c r="AF49" s="75">
        <f>307752+3676+16500+268711</f>
        <v>596639</v>
      </c>
      <c r="AG49" s="118">
        <f t="shared" si="2"/>
        <v>99.2307871417547</v>
      </c>
    </row>
    <row r="50" spans="1:33" s="3" customFormat="1" ht="30.75" customHeight="1">
      <c r="A50" s="93" t="s">
        <v>40</v>
      </c>
      <c r="B50" s="94" t="s">
        <v>37</v>
      </c>
      <c r="C50" s="59">
        <f aca="true" t="shared" si="4" ref="C50:AA50">C51+C57+C65+C69+C76+C81+C84+C89+C91+C94+C95+C98</f>
        <v>8274352</v>
      </c>
      <c r="D50" s="59">
        <f t="shared" si="4"/>
        <v>8274352</v>
      </c>
      <c r="E50" s="59">
        <f t="shared" si="4"/>
        <v>8274352</v>
      </c>
      <c r="F50" s="59">
        <f t="shared" si="4"/>
        <v>8274352</v>
      </c>
      <c r="G50" s="59">
        <f t="shared" si="4"/>
        <v>8274352</v>
      </c>
      <c r="H50" s="59">
        <f t="shared" si="4"/>
        <v>8274352</v>
      </c>
      <c r="I50" s="59">
        <f t="shared" si="4"/>
        <v>8274352</v>
      </c>
      <c r="J50" s="59">
        <f t="shared" si="4"/>
        <v>8274352</v>
      </c>
      <c r="K50" s="59">
        <f t="shared" si="4"/>
        <v>8274352</v>
      </c>
      <c r="L50" s="59">
        <f t="shared" si="4"/>
        <v>8274352</v>
      </c>
      <c r="M50" s="59">
        <f t="shared" si="4"/>
        <v>8274352</v>
      </c>
      <c r="N50" s="59">
        <f t="shared" si="4"/>
        <v>8274352</v>
      </c>
      <c r="O50" s="59">
        <f t="shared" si="4"/>
        <v>8274352</v>
      </c>
      <c r="P50" s="59">
        <f t="shared" si="4"/>
        <v>8274352</v>
      </c>
      <c r="Q50" s="59">
        <f t="shared" si="4"/>
        <v>8274352</v>
      </c>
      <c r="R50" s="59">
        <f t="shared" si="4"/>
        <v>8274352</v>
      </c>
      <c r="S50" s="59">
        <f t="shared" si="4"/>
        <v>8274352</v>
      </c>
      <c r="T50" s="59">
        <f t="shared" si="4"/>
        <v>8274352</v>
      </c>
      <c r="U50" s="59">
        <f t="shared" si="4"/>
        <v>8274352</v>
      </c>
      <c r="V50" s="59">
        <f t="shared" si="4"/>
        <v>8274352</v>
      </c>
      <c r="W50" s="59">
        <f t="shared" si="4"/>
        <v>8274352</v>
      </c>
      <c r="X50" s="59">
        <f t="shared" si="4"/>
        <v>8274352</v>
      </c>
      <c r="Y50" s="59">
        <f t="shared" si="4"/>
        <v>8274352</v>
      </c>
      <c r="Z50" s="59">
        <f t="shared" si="4"/>
        <v>8274352</v>
      </c>
      <c r="AA50" s="59">
        <f t="shared" si="4"/>
        <v>8274352</v>
      </c>
      <c r="AB50" s="59">
        <f t="shared" si="0"/>
        <v>85130195.14</v>
      </c>
      <c r="AC50" s="59">
        <f>AC51+AC57+AC65+AC69+AC76+AC81+AC84+AC89+AC91+AC94+AC95+AC98</f>
        <v>84430195.14</v>
      </c>
      <c r="AD50" s="134">
        <f>AD84</f>
        <v>700000</v>
      </c>
      <c r="AE50" s="134">
        <f>AE84</f>
        <v>700000</v>
      </c>
      <c r="AF50" s="59">
        <f>AF51+AF57+AF65+AF69+AF76+AF81+AF84+AF89+AF91+AF94+AF95+AF98</f>
        <v>52859010.92999999</v>
      </c>
      <c r="AG50" s="117">
        <f t="shared" si="2"/>
        <v>62.091964952119795</v>
      </c>
    </row>
    <row r="51" spans="1:33" ht="38.25" customHeight="1">
      <c r="A51" s="27" t="s">
        <v>15</v>
      </c>
      <c r="B51" s="29" t="s">
        <v>55</v>
      </c>
      <c r="C51" s="14">
        <f aca="true" t="shared" si="5" ref="C51:AA51">C52+C53+C54+C55+C56</f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0</v>
      </c>
      <c r="AB51" s="38">
        <f t="shared" si="0"/>
        <v>21186294</v>
      </c>
      <c r="AC51" s="14">
        <f>AC52+AC53+AC54+AC55+AC56</f>
        <v>21186294</v>
      </c>
      <c r="AD51" s="67"/>
      <c r="AE51" s="14"/>
      <c r="AF51" s="14">
        <f>AF52+AF53+AF54+AF55+AF56</f>
        <v>12022879.429999998</v>
      </c>
      <c r="AG51" s="120">
        <f t="shared" si="2"/>
        <v>56.74838379001065</v>
      </c>
    </row>
    <row r="52" spans="1:33" ht="25.5">
      <c r="A52" s="10"/>
      <c r="B52" s="22" t="s">
        <v>76</v>
      </c>
      <c r="AB52" s="45">
        <f t="shared" si="0"/>
        <v>5144038</v>
      </c>
      <c r="AC52" s="20">
        <f>5144038</f>
        <v>5144038</v>
      </c>
      <c r="AD52" s="67"/>
      <c r="AE52" s="20"/>
      <c r="AF52" s="121">
        <f>324175+336167+149658+420490+413155+499445+448055+420235</f>
        <v>3011380</v>
      </c>
      <c r="AG52" s="154">
        <f t="shared" si="2"/>
        <v>58.54116940815756</v>
      </c>
    </row>
    <row r="53" spans="1:33" ht="13.5">
      <c r="A53" s="10"/>
      <c r="B53" s="26" t="s">
        <v>25</v>
      </c>
      <c r="AB53" s="45">
        <f t="shared" si="0"/>
        <v>12422833</v>
      </c>
      <c r="AC53" s="15">
        <v>12422833</v>
      </c>
      <c r="AD53" s="67"/>
      <c r="AE53" s="15"/>
      <c r="AF53" s="125">
        <f>2603768.82+1149494.03+1033722.65+872286.13+677084.69+554419.72</f>
        <v>6890776.04</v>
      </c>
      <c r="AG53" s="154">
        <f t="shared" si="2"/>
        <v>55.468636179847216</v>
      </c>
    </row>
    <row r="54" spans="1:33" ht="25.5">
      <c r="A54" s="10"/>
      <c r="B54" s="22" t="s">
        <v>77</v>
      </c>
      <c r="AB54" s="45">
        <f t="shared" si="0"/>
        <v>870700</v>
      </c>
      <c r="AC54" s="20">
        <v>870700</v>
      </c>
      <c r="AD54" s="67"/>
      <c r="AE54" s="20"/>
      <c r="AF54" s="121">
        <f>417685.71+3200+35760.98+34526+3200+32470.1</f>
        <v>526842.79</v>
      </c>
      <c r="AG54" s="154">
        <f t="shared" si="2"/>
        <v>60.50795796485586</v>
      </c>
    </row>
    <row r="55" spans="1:33" ht="25.5">
      <c r="A55" s="10"/>
      <c r="B55" s="22" t="s">
        <v>117</v>
      </c>
      <c r="D55" s="12"/>
      <c r="AB55" s="45">
        <f t="shared" si="0"/>
        <v>1590100</v>
      </c>
      <c r="AC55" s="20">
        <f>1590099+1</f>
        <v>1590100</v>
      </c>
      <c r="AD55" s="67"/>
      <c r="AE55" s="20"/>
      <c r="AF55" s="121">
        <f>45438.97+44255.69+37484.28+40935.59+44353.81+42750.1+40647.87+52921.26+44937.87+41673.6+57277.65+61528.78+51686.06+58295.5+52217.22+71034.32+37704.25</f>
        <v>825142.8200000001</v>
      </c>
      <c r="AG55" s="154">
        <f t="shared" si="2"/>
        <v>51.89251116281996</v>
      </c>
    </row>
    <row r="56" spans="1:33" ht="13.5">
      <c r="A56" s="10"/>
      <c r="B56" s="26" t="s">
        <v>7</v>
      </c>
      <c r="AB56" s="47">
        <f t="shared" si="0"/>
        <v>1158623</v>
      </c>
      <c r="AC56" s="46">
        <v>1158623</v>
      </c>
      <c r="AD56" s="67"/>
      <c r="AE56" s="46"/>
      <c r="AF56" s="121">
        <f>100963.54+129283.26+160067.74+105390.88+83091+105042.86+84898.5</f>
        <v>768737.7799999999</v>
      </c>
      <c r="AG56" s="154">
        <f t="shared" si="2"/>
        <v>66.34925942260769</v>
      </c>
    </row>
    <row r="57" spans="1:33" ht="25.5">
      <c r="A57" s="27" t="s">
        <v>119</v>
      </c>
      <c r="B57" s="21" t="s">
        <v>28</v>
      </c>
      <c r="C57" s="19">
        <f aca="true" t="shared" si="6" ref="C57:AA57">SUM(C58:C62)</f>
        <v>3339004</v>
      </c>
      <c r="D57" s="19">
        <f t="shared" si="6"/>
        <v>3339004</v>
      </c>
      <c r="E57" s="19">
        <f t="shared" si="6"/>
        <v>3339004</v>
      </c>
      <c r="F57" s="19">
        <f t="shared" si="6"/>
        <v>3339004</v>
      </c>
      <c r="G57" s="19">
        <f t="shared" si="6"/>
        <v>3339004</v>
      </c>
      <c r="H57" s="19">
        <f t="shared" si="6"/>
        <v>3339004</v>
      </c>
      <c r="I57" s="19">
        <f t="shared" si="6"/>
        <v>3339004</v>
      </c>
      <c r="J57" s="19">
        <f t="shared" si="6"/>
        <v>3339004</v>
      </c>
      <c r="K57" s="19">
        <f t="shared" si="6"/>
        <v>3339004</v>
      </c>
      <c r="L57" s="19">
        <f t="shared" si="6"/>
        <v>3339004</v>
      </c>
      <c r="M57" s="19">
        <f t="shared" si="6"/>
        <v>3339004</v>
      </c>
      <c r="N57" s="19">
        <f t="shared" si="6"/>
        <v>3339004</v>
      </c>
      <c r="O57" s="19">
        <f t="shared" si="6"/>
        <v>3339004</v>
      </c>
      <c r="P57" s="19">
        <f t="shared" si="6"/>
        <v>3339004</v>
      </c>
      <c r="Q57" s="19">
        <f t="shared" si="6"/>
        <v>3339004</v>
      </c>
      <c r="R57" s="19">
        <f t="shared" si="6"/>
        <v>3339004</v>
      </c>
      <c r="S57" s="19">
        <f t="shared" si="6"/>
        <v>3339004</v>
      </c>
      <c r="T57" s="19">
        <f t="shared" si="6"/>
        <v>3339004</v>
      </c>
      <c r="U57" s="19">
        <f t="shared" si="6"/>
        <v>3339004</v>
      </c>
      <c r="V57" s="19">
        <f t="shared" si="6"/>
        <v>3339004</v>
      </c>
      <c r="W57" s="19">
        <f t="shared" si="6"/>
        <v>3339004</v>
      </c>
      <c r="X57" s="19">
        <f t="shared" si="6"/>
        <v>3339004</v>
      </c>
      <c r="Y57" s="19">
        <f t="shared" si="6"/>
        <v>3339004</v>
      </c>
      <c r="Z57" s="19">
        <f t="shared" si="6"/>
        <v>3339004</v>
      </c>
      <c r="AA57" s="19">
        <f t="shared" si="6"/>
        <v>3339004</v>
      </c>
      <c r="AB57" s="39">
        <f t="shared" si="0"/>
        <v>11919154</v>
      </c>
      <c r="AC57" s="19">
        <f>SUM(AC58:AC64)</f>
        <v>11919154</v>
      </c>
      <c r="AD57" s="67"/>
      <c r="AE57" s="19"/>
      <c r="AF57" s="19">
        <f>SUM(AF58:AF64)</f>
        <v>7856435.8100000005</v>
      </c>
      <c r="AG57" s="120">
        <f t="shared" si="2"/>
        <v>65.91437454369664</v>
      </c>
    </row>
    <row r="58" spans="1:33" ht="13.5">
      <c r="A58" s="11"/>
      <c r="B58" s="26" t="s">
        <v>8</v>
      </c>
      <c r="C58" s="20">
        <v>2669004</v>
      </c>
      <c r="D58" s="20">
        <v>2669004</v>
      </c>
      <c r="E58" s="20">
        <v>2669004</v>
      </c>
      <c r="F58" s="20">
        <v>2669004</v>
      </c>
      <c r="G58" s="20">
        <v>2669004</v>
      </c>
      <c r="H58" s="20">
        <v>2669004</v>
      </c>
      <c r="I58" s="20">
        <v>2669004</v>
      </c>
      <c r="J58" s="20">
        <v>2669004</v>
      </c>
      <c r="K58" s="20">
        <v>2669004</v>
      </c>
      <c r="L58" s="20">
        <v>2669004</v>
      </c>
      <c r="M58" s="20">
        <v>2669004</v>
      </c>
      <c r="N58" s="20">
        <v>2669004</v>
      </c>
      <c r="O58" s="20">
        <v>2669004</v>
      </c>
      <c r="P58" s="20">
        <v>2669004</v>
      </c>
      <c r="Q58" s="20">
        <v>2669004</v>
      </c>
      <c r="R58" s="20">
        <v>2669004</v>
      </c>
      <c r="S58" s="20">
        <v>2669004</v>
      </c>
      <c r="T58" s="20">
        <v>2669004</v>
      </c>
      <c r="U58" s="20">
        <v>2669004</v>
      </c>
      <c r="V58" s="20">
        <v>2669004</v>
      </c>
      <c r="W58" s="20">
        <v>2669004</v>
      </c>
      <c r="X58" s="20">
        <v>2669004</v>
      </c>
      <c r="Y58" s="20">
        <v>2669004</v>
      </c>
      <c r="Z58" s="20">
        <v>2669004</v>
      </c>
      <c r="AA58" s="20">
        <v>2669004</v>
      </c>
      <c r="AB58" s="20">
        <f t="shared" si="0"/>
        <v>3769004</v>
      </c>
      <c r="AC58" s="20">
        <f>2669004+1100000</f>
        <v>3769004</v>
      </c>
      <c r="AD58" s="67"/>
      <c r="AE58" s="20"/>
      <c r="AF58" s="125">
        <f>159420+157905.51+548500+548500+573500+578543.2</f>
        <v>2566368.71</v>
      </c>
      <c r="AG58" s="154">
        <f t="shared" si="2"/>
        <v>68.09142972520061</v>
      </c>
    </row>
    <row r="59" spans="1:33" ht="13.5">
      <c r="A59" s="11"/>
      <c r="B59" s="22" t="s">
        <v>46</v>
      </c>
      <c r="C59" s="20">
        <v>120000</v>
      </c>
      <c r="D59" s="20">
        <v>120000</v>
      </c>
      <c r="E59" s="20">
        <v>120000</v>
      </c>
      <c r="F59" s="20">
        <v>120000</v>
      </c>
      <c r="G59" s="20">
        <v>120000</v>
      </c>
      <c r="H59" s="20">
        <v>120000</v>
      </c>
      <c r="I59" s="20">
        <v>120000</v>
      </c>
      <c r="J59" s="20">
        <v>120000</v>
      </c>
      <c r="K59" s="20">
        <v>120000</v>
      </c>
      <c r="L59" s="20">
        <v>120000</v>
      </c>
      <c r="M59" s="20">
        <v>120000</v>
      </c>
      <c r="N59" s="20">
        <v>120000</v>
      </c>
      <c r="O59" s="20">
        <v>120000</v>
      </c>
      <c r="P59" s="20">
        <v>120000</v>
      </c>
      <c r="Q59" s="20">
        <v>120000</v>
      </c>
      <c r="R59" s="20">
        <v>120000</v>
      </c>
      <c r="S59" s="20">
        <v>120000</v>
      </c>
      <c r="T59" s="20">
        <v>120000</v>
      </c>
      <c r="U59" s="20">
        <v>120000</v>
      </c>
      <c r="V59" s="20">
        <v>120000</v>
      </c>
      <c r="W59" s="20">
        <v>120000</v>
      </c>
      <c r="X59" s="20">
        <v>120000</v>
      </c>
      <c r="Y59" s="20">
        <v>120000</v>
      </c>
      <c r="Z59" s="20">
        <v>120000</v>
      </c>
      <c r="AA59" s="20">
        <v>120000</v>
      </c>
      <c r="AB59" s="20">
        <f t="shared" si="0"/>
        <v>260000</v>
      </c>
      <c r="AC59" s="20">
        <v>260000</v>
      </c>
      <c r="AD59" s="67"/>
      <c r="AE59" s="20"/>
      <c r="AF59" s="125">
        <v>119988</v>
      </c>
      <c r="AG59" s="154">
        <f t="shared" si="2"/>
        <v>46.14923076923077</v>
      </c>
    </row>
    <row r="60" spans="1:33" ht="13.5">
      <c r="A60" s="11"/>
      <c r="B60" s="22" t="s">
        <v>50</v>
      </c>
      <c r="C60" s="20">
        <v>250000</v>
      </c>
      <c r="D60" s="20">
        <v>250000</v>
      </c>
      <c r="E60" s="20">
        <v>250000</v>
      </c>
      <c r="F60" s="20">
        <v>250000</v>
      </c>
      <c r="G60" s="20">
        <v>250000</v>
      </c>
      <c r="H60" s="20">
        <v>250000</v>
      </c>
      <c r="I60" s="20">
        <v>250000</v>
      </c>
      <c r="J60" s="20">
        <v>250000</v>
      </c>
      <c r="K60" s="20">
        <v>250000</v>
      </c>
      <c r="L60" s="20">
        <v>250000</v>
      </c>
      <c r="M60" s="20">
        <v>250000</v>
      </c>
      <c r="N60" s="20">
        <v>250000</v>
      </c>
      <c r="O60" s="20">
        <v>250000</v>
      </c>
      <c r="P60" s="20">
        <v>250000</v>
      </c>
      <c r="Q60" s="20">
        <v>250000</v>
      </c>
      <c r="R60" s="20">
        <v>250000</v>
      </c>
      <c r="S60" s="20">
        <v>250000</v>
      </c>
      <c r="T60" s="20">
        <v>250000</v>
      </c>
      <c r="U60" s="20">
        <v>250000</v>
      </c>
      <c r="V60" s="20">
        <v>250000</v>
      </c>
      <c r="W60" s="20">
        <v>250000</v>
      </c>
      <c r="X60" s="20">
        <v>250000</v>
      </c>
      <c r="Y60" s="20">
        <v>250000</v>
      </c>
      <c r="Z60" s="20">
        <v>250000</v>
      </c>
      <c r="AA60" s="20">
        <v>250000</v>
      </c>
      <c r="AB60" s="20">
        <f t="shared" si="0"/>
        <v>950000</v>
      </c>
      <c r="AC60" s="20">
        <f>250000+700000</f>
        <v>950000</v>
      </c>
      <c r="AD60" s="67"/>
      <c r="AE60" s="20"/>
      <c r="AF60" s="125">
        <f>186900+96800+90100+96800+186900</f>
        <v>657500</v>
      </c>
      <c r="AG60" s="154">
        <f t="shared" si="2"/>
        <v>69.21052631578948</v>
      </c>
    </row>
    <row r="61" spans="1:33" ht="13.5">
      <c r="A61" s="11"/>
      <c r="B61" s="181" t="s">
        <v>9</v>
      </c>
      <c r="C61" s="20">
        <v>300000</v>
      </c>
      <c r="D61" s="20">
        <v>300000</v>
      </c>
      <c r="E61" s="20">
        <v>300000</v>
      </c>
      <c r="F61" s="20">
        <v>300000</v>
      </c>
      <c r="G61" s="20">
        <v>300000</v>
      </c>
      <c r="H61" s="20">
        <v>300000</v>
      </c>
      <c r="I61" s="20">
        <v>300000</v>
      </c>
      <c r="J61" s="20">
        <v>300000</v>
      </c>
      <c r="K61" s="20">
        <v>300000</v>
      </c>
      <c r="L61" s="20">
        <v>300000</v>
      </c>
      <c r="M61" s="20">
        <v>300000</v>
      </c>
      <c r="N61" s="20">
        <v>300000</v>
      </c>
      <c r="O61" s="20">
        <v>300000</v>
      </c>
      <c r="P61" s="20">
        <v>300000</v>
      </c>
      <c r="Q61" s="20">
        <v>300000</v>
      </c>
      <c r="R61" s="20">
        <v>300000</v>
      </c>
      <c r="S61" s="20">
        <v>300000</v>
      </c>
      <c r="T61" s="20">
        <v>300000</v>
      </c>
      <c r="U61" s="20">
        <v>300000</v>
      </c>
      <c r="V61" s="20">
        <v>300000</v>
      </c>
      <c r="W61" s="20">
        <v>300000</v>
      </c>
      <c r="X61" s="20">
        <v>300000</v>
      </c>
      <c r="Y61" s="20">
        <v>300000</v>
      </c>
      <c r="Z61" s="20">
        <v>300000</v>
      </c>
      <c r="AA61" s="20">
        <v>300000</v>
      </c>
      <c r="AB61" s="20">
        <f t="shared" si="0"/>
        <v>400000</v>
      </c>
      <c r="AC61" s="20">
        <f>300000+100000</f>
        <v>400000</v>
      </c>
      <c r="AD61" s="67"/>
      <c r="AE61" s="20"/>
      <c r="AF61" s="125">
        <f>50000+80000+80000+80000</f>
        <v>290000</v>
      </c>
      <c r="AG61" s="154">
        <f t="shared" si="2"/>
        <v>72.5</v>
      </c>
    </row>
    <row r="62" spans="1:37" ht="57" customHeight="1">
      <c r="A62" s="11"/>
      <c r="B62" s="181" t="s">
        <v>10</v>
      </c>
      <c r="AB62" s="20">
        <f t="shared" si="0"/>
        <v>4440150</v>
      </c>
      <c r="AC62" s="20">
        <f>3940150+500000</f>
        <v>4440150</v>
      </c>
      <c r="AD62" s="67"/>
      <c r="AE62" s="20"/>
      <c r="AF62" s="121">
        <f>334500+599412+766710+184408-382500+487050+229400+50115+449125+390683+392211.1+120790</f>
        <v>3621904.1</v>
      </c>
      <c r="AG62" s="154">
        <f t="shared" si="2"/>
        <v>81.57166086731304</v>
      </c>
      <c r="AI62" s="183"/>
      <c r="AJ62" s="183"/>
      <c r="AK62" s="183"/>
    </row>
    <row r="63" spans="1:33" ht="13.5">
      <c r="A63" s="11"/>
      <c r="B63" s="182" t="s">
        <v>164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0">
        <f>AC63</f>
        <v>100000</v>
      </c>
      <c r="AC63" s="20">
        <v>100000</v>
      </c>
      <c r="AD63" s="67"/>
      <c r="AE63" s="20"/>
      <c r="AF63" s="37"/>
      <c r="AG63" s="154">
        <f t="shared" si="2"/>
        <v>0</v>
      </c>
    </row>
    <row r="64" spans="1:33" ht="25.5">
      <c r="A64" s="11"/>
      <c r="B64" s="182" t="s">
        <v>59</v>
      </c>
      <c r="AB64" s="20">
        <f t="shared" si="0"/>
        <v>2000000</v>
      </c>
      <c r="AC64" s="20">
        <v>2000000</v>
      </c>
      <c r="AD64" s="67"/>
      <c r="AE64" s="20"/>
      <c r="AF64" s="42">
        <f>135300+67900+128825+104900+163750</f>
        <v>600675</v>
      </c>
      <c r="AG64" s="154">
        <f t="shared" si="2"/>
        <v>30.033749999999998</v>
      </c>
    </row>
    <row r="65" spans="1:33" ht="25.5" customHeight="1">
      <c r="A65" s="27" t="s">
        <v>120</v>
      </c>
      <c r="B65" s="21" t="s">
        <v>29</v>
      </c>
      <c r="C65" s="19">
        <f aca="true" t="shared" si="7" ref="C65:AA65">SUM(C66:C68)</f>
        <v>0</v>
      </c>
      <c r="D65" s="19">
        <f t="shared" si="7"/>
        <v>0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9">
        <f t="shared" si="7"/>
        <v>0</v>
      </c>
      <c r="M65" s="19">
        <f t="shared" si="7"/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19">
        <f t="shared" si="7"/>
        <v>0</v>
      </c>
      <c r="R65" s="19">
        <f t="shared" si="7"/>
        <v>0</v>
      </c>
      <c r="S65" s="19">
        <f t="shared" si="7"/>
        <v>0</v>
      </c>
      <c r="T65" s="19">
        <f t="shared" si="7"/>
        <v>0</v>
      </c>
      <c r="U65" s="19">
        <f t="shared" si="7"/>
        <v>0</v>
      </c>
      <c r="V65" s="19">
        <f t="shared" si="7"/>
        <v>0</v>
      </c>
      <c r="W65" s="19">
        <f t="shared" si="7"/>
        <v>0</v>
      </c>
      <c r="X65" s="19">
        <f t="shared" si="7"/>
        <v>0</v>
      </c>
      <c r="Y65" s="19">
        <f t="shared" si="7"/>
        <v>0</v>
      </c>
      <c r="Z65" s="19">
        <f t="shared" si="7"/>
        <v>0</v>
      </c>
      <c r="AA65" s="19">
        <f t="shared" si="7"/>
        <v>0</v>
      </c>
      <c r="AB65" s="40">
        <f t="shared" si="0"/>
        <v>1886414</v>
      </c>
      <c r="AC65" s="19">
        <f>SUM(AC66:AC68)</f>
        <v>1886414</v>
      </c>
      <c r="AD65" s="67"/>
      <c r="AE65" s="19"/>
      <c r="AF65" s="19">
        <f>SUM(AF66:AF68)</f>
        <v>1082588.05</v>
      </c>
      <c r="AG65" s="120">
        <f t="shared" si="2"/>
        <v>57.38867767096725</v>
      </c>
    </row>
    <row r="66" spans="1:33" ht="13.5">
      <c r="A66" s="11"/>
      <c r="B66" s="26" t="s">
        <v>17</v>
      </c>
      <c r="AB66" s="41">
        <f t="shared" si="0"/>
        <v>1374225</v>
      </c>
      <c r="AC66" s="20">
        <v>1374225</v>
      </c>
      <c r="AD66" s="67"/>
      <c r="AE66" s="20"/>
      <c r="AF66" s="122">
        <f>339880.61+247787.62+241185.16</f>
        <v>828853.39</v>
      </c>
      <c r="AG66" s="154">
        <f t="shared" si="2"/>
        <v>60.31424184540377</v>
      </c>
    </row>
    <row r="67" spans="1:33" ht="13.5">
      <c r="A67" s="11"/>
      <c r="B67" s="26" t="s">
        <v>18</v>
      </c>
      <c r="AB67" s="41">
        <f t="shared" si="0"/>
        <v>238278</v>
      </c>
      <c r="AC67" s="20">
        <v>238278</v>
      </c>
      <c r="AD67" s="67"/>
      <c r="AE67" s="20"/>
      <c r="AF67" s="122">
        <f>47069.11+47069.11+47069.11</f>
        <v>141207.33000000002</v>
      </c>
      <c r="AG67" s="154">
        <f t="shared" si="2"/>
        <v>59.26158940397352</v>
      </c>
    </row>
    <row r="68" spans="1:33" ht="13.5">
      <c r="A68" s="11"/>
      <c r="B68" s="26" t="s">
        <v>19</v>
      </c>
      <c r="AB68" s="41">
        <f t="shared" si="0"/>
        <v>273911</v>
      </c>
      <c r="AC68" s="20">
        <v>273911</v>
      </c>
      <c r="AD68" s="67"/>
      <c r="AE68" s="20"/>
      <c r="AF68" s="168">
        <f>35254.8+35009.29+42263.24</f>
        <v>112527.32999999999</v>
      </c>
      <c r="AG68" s="154">
        <f t="shared" si="2"/>
        <v>41.081712673094536</v>
      </c>
    </row>
    <row r="69" spans="1:33" ht="13.5">
      <c r="A69" s="27" t="s">
        <v>121</v>
      </c>
      <c r="B69" s="21" t="s">
        <v>11</v>
      </c>
      <c r="C69" s="19">
        <f aca="true" t="shared" si="8" ref="C69:AA69">SUM(C70:C75)</f>
        <v>3044240</v>
      </c>
      <c r="D69" s="19">
        <f t="shared" si="8"/>
        <v>3044240</v>
      </c>
      <c r="E69" s="19">
        <f t="shared" si="8"/>
        <v>3044240</v>
      </c>
      <c r="F69" s="19">
        <f t="shared" si="8"/>
        <v>3044240</v>
      </c>
      <c r="G69" s="19">
        <f t="shared" si="8"/>
        <v>3044240</v>
      </c>
      <c r="H69" s="19">
        <f t="shared" si="8"/>
        <v>3044240</v>
      </c>
      <c r="I69" s="19">
        <f t="shared" si="8"/>
        <v>3044240</v>
      </c>
      <c r="J69" s="19">
        <f t="shared" si="8"/>
        <v>3044240</v>
      </c>
      <c r="K69" s="19">
        <f t="shared" si="8"/>
        <v>3044240</v>
      </c>
      <c r="L69" s="19">
        <f t="shared" si="8"/>
        <v>3044240</v>
      </c>
      <c r="M69" s="19">
        <f t="shared" si="8"/>
        <v>3044240</v>
      </c>
      <c r="N69" s="19">
        <f t="shared" si="8"/>
        <v>3044240</v>
      </c>
      <c r="O69" s="19">
        <f t="shared" si="8"/>
        <v>3044240</v>
      </c>
      <c r="P69" s="19">
        <f t="shared" si="8"/>
        <v>3044240</v>
      </c>
      <c r="Q69" s="19">
        <f t="shared" si="8"/>
        <v>3044240</v>
      </c>
      <c r="R69" s="19">
        <f t="shared" si="8"/>
        <v>3044240</v>
      </c>
      <c r="S69" s="19">
        <f t="shared" si="8"/>
        <v>3044240</v>
      </c>
      <c r="T69" s="19">
        <f t="shared" si="8"/>
        <v>3044240</v>
      </c>
      <c r="U69" s="19">
        <f t="shared" si="8"/>
        <v>3044240</v>
      </c>
      <c r="V69" s="19">
        <f t="shared" si="8"/>
        <v>3044240</v>
      </c>
      <c r="W69" s="19">
        <f t="shared" si="8"/>
        <v>3044240</v>
      </c>
      <c r="X69" s="19">
        <f t="shared" si="8"/>
        <v>3044240</v>
      </c>
      <c r="Y69" s="19">
        <f t="shared" si="8"/>
        <v>3044240</v>
      </c>
      <c r="Z69" s="19">
        <f t="shared" si="8"/>
        <v>3044240</v>
      </c>
      <c r="AA69" s="19">
        <f t="shared" si="8"/>
        <v>3044240</v>
      </c>
      <c r="AB69" s="40">
        <f t="shared" si="0"/>
        <v>5421806</v>
      </c>
      <c r="AC69" s="19">
        <f>SUM(AC70:AC75)</f>
        <v>5421806</v>
      </c>
      <c r="AD69" s="67"/>
      <c r="AE69" s="19"/>
      <c r="AF69" s="19">
        <f>SUM(AF70:AF75)</f>
        <v>3166270.26</v>
      </c>
      <c r="AG69" s="120">
        <f t="shared" si="2"/>
        <v>58.3988113923663</v>
      </c>
    </row>
    <row r="70" spans="1:33" ht="40.5" customHeight="1">
      <c r="A70" s="11"/>
      <c r="B70" s="22" t="s">
        <v>56</v>
      </c>
      <c r="C70" s="20">
        <v>3044240</v>
      </c>
      <c r="D70" s="20">
        <v>3044240</v>
      </c>
      <c r="E70" s="20">
        <v>3044240</v>
      </c>
      <c r="F70" s="20">
        <v>3044240</v>
      </c>
      <c r="G70" s="20">
        <v>3044240</v>
      </c>
      <c r="H70" s="20">
        <v>3044240</v>
      </c>
      <c r="I70" s="20">
        <v>3044240</v>
      </c>
      <c r="J70" s="20">
        <v>3044240</v>
      </c>
      <c r="K70" s="20">
        <v>3044240</v>
      </c>
      <c r="L70" s="20">
        <v>3044240</v>
      </c>
      <c r="M70" s="20">
        <v>3044240</v>
      </c>
      <c r="N70" s="20">
        <v>3044240</v>
      </c>
      <c r="O70" s="20">
        <v>3044240</v>
      </c>
      <c r="P70" s="20">
        <v>3044240</v>
      </c>
      <c r="Q70" s="20">
        <v>3044240</v>
      </c>
      <c r="R70" s="20">
        <v>3044240</v>
      </c>
      <c r="S70" s="20">
        <v>3044240</v>
      </c>
      <c r="T70" s="20">
        <v>3044240</v>
      </c>
      <c r="U70" s="20">
        <v>3044240</v>
      </c>
      <c r="V70" s="20">
        <v>3044240</v>
      </c>
      <c r="W70" s="20">
        <v>3044240</v>
      </c>
      <c r="X70" s="20">
        <v>3044240</v>
      </c>
      <c r="Y70" s="20">
        <v>3044240</v>
      </c>
      <c r="Z70" s="20">
        <v>3044240</v>
      </c>
      <c r="AA70" s="20">
        <v>3044240</v>
      </c>
      <c r="AB70" s="20">
        <f t="shared" si="0"/>
        <v>3392440</v>
      </c>
      <c r="AC70" s="20">
        <v>3392440</v>
      </c>
      <c r="AD70" s="67"/>
      <c r="AE70" s="20"/>
      <c r="AF70" s="121">
        <f>943292.69+110239.17+42262.5+25763.97+117826.99+10236.13+29552.79+204138.26+1396.01+4215+78254.55+35532+192775.39</f>
        <v>1795485.4499999997</v>
      </c>
      <c r="AG70" s="154">
        <f t="shared" si="2"/>
        <v>52.92607827994009</v>
      </c>
    </row>
    <row r="71" spans="1:33" ht="13.5">
      <c r="A71" s="11"/>
      <c r="B71" s="22" t="s">
        <v>43</v>
      </c>
      <c r="AB71" s="20">
        <f t="shared" si="0"/>
        <v>500000</v>
      </c>
      <c r="AC71" s="20">
        <f>200000+50000+250000</f>
        <v>500000</v>
      </c>
      <c r="AD71" s="67"/>
      <c r="AE71" s="20"/>
      <c r="AF71" s="121">
        <f>382500+77500</f>
        <v>460000</v>
      </c>
      <c r="AG71" s="154">
        <f t="shared" si="2"/>
        <v>92</v>
      </c>
    </row>
    <row r="72" spans="1:33" ht="51.75">
      <c r="A72" s="11"/>
      <c r="B72" s="22" t="s">
        <v>75</v>
      </c>
      <c r="AB72" s="20">
        <f t="shared" si="0"/>
        <v>1365240</v>
      </c>
      <c r="AC72" s="20">
        <v>1365240</v>
      </c>
      <c r="AD72" s="67"/>
      <c r="AE72" s="20"/>
      <c r="AF72" s="121">
        <f>14937.5+3286.25+67768.09+13945.14+18952.7+62004+18952.7+70935.29+19701.87+6615+74549.96+19701.87+76630.02+19701.87+72270.18+30661.48+86507.4+32099.9+25166.55+76452.74</f>
        <v>810840.51</v>
      </c>
      <c r="AG72" s="154">
        <f t="shared" si="2"/>
        <v>59.391792651841435</v>
      </c>
    </row>
    <row r="73" spans="1:33" ht="25.5">
      <c r="A73" s="11"/>
      <c r="B73" s="22" t="s">
        <v>172</v>
      </c>
      <c r="AB73" s="20">
        <f t="shared" si="0"/>
        <v>44770</v>
      </c>
      <c r="AC73" s="20">
        <v>44770</v>
      </c>
      <c r="AD73" s="67"/>
      <c r="AE73" s="20"/>
      <c r="AF73" s="143">
        <f>44770</f>
        <v>44770</v>
      </c>
      <c r="AG73" s="154">
        <f t="shared" si="2"/>
        <v>100</v>
      </c>
    </row>
    <row r="74" spans="1:33" ht="13.5">
      <c r="A74" s="11"/>
      <c r="B74" s="26" t="s">
        <v>20</v>
      </c>
      <c r="AB74" s="20">
        <f t="shared" si="0"/>
        <v>105496</v>
      </c>
      <c r="AC74" s="20">
        <v>105496</v>
      </c>
      <c r="AD74" s="67"/>
      <c r="AE74" s="20"/>
      <c r="AF74" s="125">
        <f>34298.08+7674.14+6618.18</f>
        <v>48590.4</v>
      </c>
      <c r="AG74" s="154">
        <f t="shared" si="2"/>
        <v>46.05899749753545</v>
      </c>
    </row>
    <row r="75" spans="1:33" ht="13.5">
      <c r="A75" s="11"/>
      <c r="B75" s="26" t="s">
        <v>21</v>
      </c>
      <c r="AB75" s="20">
        <f t="shared" si="0"/>
        <v>13860</v>
      </c>
      <c r="AC75" s="20">
        <v>13860</v>
      </c>
      <c r="AD75" s="67"/>
      <c r="AE75" s="20"/>
      <c r="AF75" s="125">
        <f>1096.45+1623.08+725.56+343.59+788.59+984.51+1022.12</f>
        <v>6583.9</v>
      </c>
      <c r="AG75" s="154">
        <f aca="true" t="shared" si="9" ref="AG75:AG116">AF75/AB75*100</f>
        <v>47.502886002886</v>
      </c>
    </row>
    <row r="76" spans="1:33" ht="13.5">
      <c r="A76" s="27" t="s">
        <v>122</v>
      </c>
      <c r="B76" s="21" t="s">
        <v>30</v>
      </c>
      <c r="C76" s="19">
        <f aca="true" t="shared" si="10" ref="C76:AA76">SUM(C77:C78)</f>
        <v>0</v>
      </c>
      <c r="D76" s="19">
        <f t="shared" si="10"/>
        <v>0</v>
      </c>
      <c r="E76" s="19">
        <f t="shared" si="10"/>
        <v>0</v>
      </c>
      <c r="F76" s="19">
        <f t="shared" si="10"/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19">
        <f t="shared" si="10"/>
        <v>0</v>
      </c>
      <c r="N76" s="19">
        <f t="shared" si="10"/>
        <v>0</v>
      </c>
      <c r="O76" s="19">
        <f t="shared" si="10"/>
        <v>0</v>
      </c>
      <c r="P76" s="19">
        <f t="shared" si="10"/>
        <v>0</v>
      </c>
      <c r="Q76" s="19">
        <f t="shared" si="10"/>
        <v>0</v>
      </c>
      <c r="R76" s="19">
        <f t="shared" si="10"/>
        <v>0</v>
      </c>
      <c r="S76" s="19">
        <f t="shared" si="10"/>
        <v>0</v>
      </c>
      <c r="T76" s="19">
        <f t="shared" si="10"/>
        <v>0</v>
      </c>
      <c r="U76" s="19">
        <f t="shared" si="10"/>
        <v>0</v>
      </c>
      <c r="V76" s="19">
        <f t="shared" si="10"/>
        <v>0</v>
      </c>
      <c r="W76" s="19">
        <f t="shared" si="10"/>
        <v>0</v>
      </c>
      <c r="X76" s="19">
        <f t="shared" si="10"/>
        <v>0</v>
      </c>
      <c r="Y76" s="19">
        <f t="shared" si="10"/>
        <v>0</v>
      </c>
      <c r="Z76" s="19">
        <f t="shared" si="10"/>
        <v>0</v>
      </c>
      <c r="AA76" s="19">
        <f t="shared" si="10"/>
        <v>0</v>
      </c>
      <c r="AB76" s="19">
        <f t="shared" si="0"/>
        <v>24426330</v>
      </c>
      <c r="AC76" s="19">
        <f>SUM(AC77:AC80)</f>
        <v>24426330</v>
      </c>
      <c r="AD76" s="67"/>
      <c r="AE76" s="19"/>
      <c r="AF76" s="23">
        <f>AF79+AF77+AF78</f>
        <v>15850651.9</v>
      </c>
      <c r="AG76" s="120">
        <f t="shared" si="9"/>
        <v>64.89166362691408</v>
      </c>
    </row>
    <row r="77" spans="1:33" ht="30" customHeight="1">
      <c r="A77" s="11"/>
      <c r="B77" s="22" t="s">
        <v>45</v>
      </c>
      <c r="AB77" s="42">
        <f t="shared" si="0"/>
        <v>3431330</v>
      </c>
      <c r="AC77" s="20">
        <f>3431330</f>
        <v>3431330</v>
      </c>
      <c r="AD77" s="67"/>
      <c r="AE77" s="20"/>
      <c r="AF77" s="42">
        <f>192232.6+707168.71+288201.71</f>
        <v>1187603.02</v>
      </c>
      <c r="AG77" s="154">
        <f t="shared" si="9"/>
        <v>34.61057432540735</v>
      </c>
    </row>
    <row r="78" spans="1:33" ht="13.5" customHeight="1">
      <c r="A78" s="11"/>
      <c r="B78" s="26" t="s">
        <v>31</v>
      </c>
      <c r="AB78" s="42">
        <f t="shared" si="0"/>
        <v>895000</v>
      </c>
      <c r="AC78" s="20">
        <v>895000</v>
      </c>
      <c r="AD78" s="67"/>
      <c r="AE78" s="20"/>
      <c r="AF78" s="41">
        <v>892398</v>
      </c>
      <c r="AG78" s="154">
        <f t="shared" si="9"/>
        <v>99.70927374301675</v>
      </c>
    </row>
    <row r="79" spans="1:33" ht="27.75" customHeight="1">
      <c r="A79" s="11"/>
      <c r="B79" s="22" t="s">
        <v>60</v>
      </c>
      <c r="AB79" s="158">
        <f>AC79+AD79</f>
        <v>20000000</v>
      </c>
      <c r="AC79" s="77">
        <v>20000000</v>
      </c>
      <c r="AD79" s="159"/>
      <c r="AE79" s="77"/>
      <c r="AF79" s="185">
        <f>2564498.56+788337.15+1768939.39+804063.36+592442.11+804063.36+804063.36+804063.36+1650061.44+1100040.96+378871.3+281153.28+549023.49+881029.76</f>
        <v>13770650.88</v>
      </c>
      <c r="AG79" s="160">
        <f>AF79/AB79*100</f>
        <v>68.85325440000001</v>
      </c>
    </row>
    <row r="80" spans="1:33" ht="51.75">
      <c r="A80" s="11"/>
      <c r="B80" s="157" t="s">
        <v>181</v>
      </c>
      <c r="AB80" s="42">
        <f>AC80+AD80</f>
        <v>100000</v>
      </c>
      <c r="AC80" s="71">
        <v>100000</v>
      </c>
      <c r="AD80" s="37"/>
      <c r="AE80" s="37"/>
      <c r="AF80" s="37"/>
      <c r="AG80" s="154">
        <f>AF80/AB80*100</f>
        <v>0</v>
      </c>
    </row>
    <row r="81" spans="1:33" ht="34.5" customHeight="1">
      <c r="A81" s="27" t="s">
        <v>123</v>
      </c>
      <c r="B81" s="21" t="s">
        <v>1</v>
      </c>
      <c r="C81" s="19">
        <f aca="true" t="shared" si="11" ref="C81:AA81">SUM(C82:C83)</f>
        <v>0</v>
      </c>
      <c r="D81" s="19">
        <f t="shared" si="11"/>
        <v>0</v>
      </c>
      <c r="E81" s="19">
        <f t="shared" si="11"/>
        <v>0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1"/>
        <v>0</v>
      </c>
      <c r="Q81" s="19">
        <f t="shared" si="11"/>
        <v>0</v>
      </c>
      <c r="R81" s="19">
        <f t="shared" si="11"/>
        <v>0</v>
      </c>
      <c r="S81" s="19">
        <f t="shared" si="11"/>
        <v>0</v>
      </c>
      <c r="T81" s="19">
        <f t="shared" si="11"/>
        <v>0</v>
      </c>
      <c r="U81" s="19">
        <f t="shared" si="11"/>
        <v>0</v>
      </c>
      <c r="V81" s="19">
        <f t="shared" si="11"/>
        <v>0</v>
      </c>
      <c r="W81" s="19">
        <f t="shared" si="11"/>
        <v>0</v>
      </c>
      <c r="X81" s="19">
        <f t="shared" si="11"/>
        <v>0</v>
      </c>
      <c r="Y81" s="19">
        <f t="shared" si="11"/>
        <v>0</v>
      </c>
      <c r="Z81" s="19">
        <f t="shared" si="11"/>
        <v>0</v>
      </c>
      <c r="AA81" s="19">
        <f t="shared" si="11"/>
        <v>0</v>
      </c>
      <c r="AB81" s="161">
        <f t="shared" si="0"/>
        <v>992024.45</v>
      </c>
      <c r="AC81" s="161">
        <f>SUM(AC82:AC83)</f>
        <v>992024.45</v>
      </c>
      <c r="AD81" s="162"/>
      <c r="AE81" s="161"/>
      <c r="AF81" s="163">
        <f>AF82+AF83</f>
        <v>823523.47</v>
      </c>
      <c r="AG81" s="164">
        <f t="shared" si="9"/>
        <v>83.01443275919257</v>
      </c>
    </row>
    <row r="82" spans="1:33" ht="25.5">
      <c r="A82" s="11"/>
      <c r="B82" s="22" t="s">
        <v>32</v>
      </c>
      <c r="AB82" s="43">
        <f aca="true" t="shared" si="12" ref="AB82:AB106">AC82+AD82</f>
        <v>556524.45</v>
      </c>
      <c r="AC82" s="20">
        <v>556524.45</v>
      </c>
      <c r="AD82" s="67"/>
      <c r="AE82" s="20"/>
      <c r="AF82" s="121">
        <f>80937.24+20234.31+20234.31+23108.63+22431.99+23108.63+23108.63+23108.63+23108.63+23108.63+23968.48+23968.49+23968.48+34018.49</f>
        <v>388413.56999999995</v>
      </c>
      <c r="AG82" s="154">
        <f t="shared" si="9"/>
        <v>69.79272339247629</v>
      </c>
    </row>
    <row r="83" spans="1:33" ht="37.5" customHeight="1">
      <c r="A83" s="11"/>
      <c r="B83" s="22" t="s">
        <v>33</v>
      </c>
      <c r="AB83" s="43">
        <f t="shared" si="12"/>
        <v>435500</v>
      </c>
      <c r="AC83" s="20">
        <f>87853+347647</f>
        <v>435500</v>
      </c>
      <c r="AD83" s="62"/>
      <c r="AE83" s="20"/>
      <c r="AF83" s="121">
        <f>165041+110068.9+160000</f>
        <v>435109.9</v>
      </c>
      <c r="AG83" s="154">
        <f t="shared" si="9"/>
        <v>99.91042479908153</v>
      </c>
    </row>
    <row r="84" spans="1:33" ht="25.5">
      <c r="A84" s="27" t="s">
        <v>124</v>
      </c>
      <c r="B84" s="21" t="s">
        <v>36</v>
      </c>
      <c r="AB84" s="48">
        <f t="shared" si="12"/>
        <v>16607064.69</v>
      </c>
      <c r="AC84" s="19">
        <f>SUM(AC85:AC87)</f>
        <v>15907064.69</v>
      </c>
      <c r="AD84" s="73">
        <f>AD88</f>
        <v>700000</v>
      </c>
      <c r="AE84" s="73">
        <f>AE88</f>
        <v>700000</v>
      </c>
      <c r="AF84" s="23">
        <f>SUM(AF85:AF88)</f>
        <v>10663595.81</v>
      </c>
      <c r="AG84" s="120">
        <f t="shared" si="9"/>
        <v>64.21120173284518</v>
      </c>
    </row>
    <row r="85" spans="1:33" ht="39">
      <c r="A85" s="11"/>
      <c r="B85" s="22" t="s">
        <v>49</v>
      </c>
      <c r="AB85" s="43">
        <f t="shared" si="12"/>
        <v>14837552.42</v>
      </c>
      <c r="AC85" s="20">
        <v>14837552.42</v>
      </c>
      <c r="AD85" s="74"/>
      <c r="AE85" s="20"/>
      <c r="AF85" s="186">
        <f>6806669.74+69763.78+7408.62+85567.68+110059.99+350220.29+195200+52702.5+7248+426974.49+195200+116944.09+59272.36+353070.27+213500+9997.68+18000+333992.21+213500+5700</f>
        <v>9630991.700000001</v>
      </c>
      <c r="AG85" s="154">
        <f t="shared" si="9"/>
        <v>64.90957152082635</v>
      </c>
    </row>
    <row r="86" spans="1:33" ht="42.75" customHeight="1">
      <c r="A86" s="11"/>
      <c r="B86" s="22" t="s">
        <v>61</v>
      </c>
      <c r="AB86" s="43">
        <f t="shared" si="12"/>
        <v>1039512.27</v>
      </c>
      <c r="AC86" s="20">
        <v>1039512.27</v>
      </c>
      <c r="AD86" s="63"/>
      <c r="AE86" s="20"/>
      <c r="AF86" s="186">
        <f>145332+51839.42+77926.65+65541.63+5958.33+61072.69+5595.78+29990.1+31120+19345.66+1273.54+112500+4692.72+4496.36+63901.19</f>
        <v>680586.0699999998</v>
      </c>
      <c r="AG86" s="154">
        <f t="shared" si="9"/>
        <v>65.47167259507191</v>
      </c>
    </row>
    <row r="87" spans="1:33" ht="81" customHeight="1">
      <c r="A87" s="11"/>
      <c r="B87" s="22" t="s">
        <v>78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2"/>
        <v>30000</v>
      </c>
      <c r="AC87" s="20">
        <v>30000</v>
      </c>
      <c r="AD87" s="76"/>
      <c r="AE87" s="20"/>
      <c r="AF87" s="121"/>
      <c r="AG87" s="154">
        <f t="shared" si="9"/>
        <v>0</v>
      </c>
    </row>
    <row r="88" spans="1:33" ht="18" customHeight="1">
      <c r="A88" s="11"/>
      <c r="B88" s="22" t="s">
        <v>171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142">
        <f>AD88</f>
        <v>700000</v>
      </c>
      <c r="AC88" s="20"/>
      <c r="AD88" s="18">
        <v>700000</v>
      </c>
      <c r="AE88" s="77">
        <v>700000</v>
      </c>
      <c r="AF88" s="143">
        <v>352018.04</v>
      </c>
      <c r="AG88" s="154">
        <f t="shared" si="9"/>
        <v>50.288291428571426</v>
      </c>
    </row>
    <row r="89" spans="1:33" ht="36" customHeight="1">
      <c r="A89" s="27" t="s">
        <v>125</v>
      </c>
      <c r="B89" s="21" t="s">
        <v>12</v>
      </c>
      <c r="C89" s="19">
        <f aca="true" t="shared" si="13" ref="C89:AA89">SUM(C90:C90)</f>
        <v>130000</v>
      </c>
      <c r="D89" s="19">
        <f t="shared" si="13"/>
        <v>130000</v>
      </c>
      <c r="E89" s="19">
        <f t="shared" si="13"/>
        <v>130000</v>
      </c>
      <c r="F89" s="19">
        <f t="shared" si="13"/>
        <v>130000</v>
      </c>
      <c r="G89" s="19">
        <f t="shared" si="13"/>
        <v>130000</v>
      </c>
      <c r="H89" s="19">
        <f t="shared" si="13"/>
        <v>130000</v>
      </c>
      <c r="I89" s="19">
        <f t="shared" si="13"/>
        <v>130000</v>
      </c>
      <c r="J89" s="19">
        <f t="shared" si="13"/>
        <v>130000</v>
      </c>
      <c r="K89" s="19">
        <f t="shared" si="13"/>
        <v>130000</v>
      </c>
      <c r="L89" s="19">
        <f t="shared" si="13"/>
        <v>130000</v>
      </c>
      <c r="M89" s="19">
        <f t="shared" si="13"/>
        <v>130000</v>
      </c>
      <c r="N89" s="19">
        <f t="shared" si="13"/>
        <v>130000</v>
      </c>
      <c r="O89" s="19">
        <f t="shared" si="13"/>
        <v>130000</v>
      </c>
      <c r="P89" s="19">
        <f t="shared" si="13"/>
        <v>130000</v>
      </c>
      <c r="Q89" s="19">
        <f t="shared" si="13"/>
        <v>130000</v>
      </c>
      <c r="R89" s="19">
        <f t="shared" si="13"/>
        <v>130000</v>
      </c>
      <c r="S89" s="19">
        <f t="shared" si="13"/>
        <v>130000</v>
      </c>
      <c r="T89" s="19">
        <f t="shared" si="13"/>
        <v>130000</v>
      </c>
      <c r="U89" s="19">
        <f t="shared" si="13"/>
        <v>130000</v>
      </c>
      <c r="V89" s="19">
        <f t="shared" si="13"/>
        <v>130000</v>
      </c>
      <c r="W89" s="19">
        <f t="shared" si="13"/>
        <v>130000</v>
      </c>
      <c r="X89" s="19">
        <f t="shared" si="13"/>
        <v>130000</v>
      </c>
      <c r="Y89" s="19">
        <f t="shared" si="13"/>
        <v>130000</v>
      </c>
      <c r="Z89" s="19">
        <f t="shared" si="13"/>
        <v>130000</v>
      </c>
      <c r="AA89" s="19">
        <f t="shared" si="13"/>
        <v>130000</v>
      </c>
      <c r="AB89" s="19">
        <f t="shared" si="12"/>
        <v>130000</v>
      </c>
      <c r="AC89" s="19">
        <f>SUM(AC90:AC90)</f>
        <v>130000</v>
      </c>
      <c r="AD89" s="14"/>
      <c r="AE89" s="40"/>
      <c r="AF89" s="37"/>
      <c r="AG89" s="120">
        <f t="shared" si="9"/>
        <v>0</v>
      </c>
    </row>
    <row r="90" spans="1:33" ht="27" customHeight="1">
      <c r="A90" s="11"/>
      <c r="B90" s="26" t="s">
        <v>13</v>
      </c>
      <c r="C90" s="20">
        <v>130000</v>
      </c>
      <c r="D90" s="20">
        <v>130000</v>
      </c>
      <c r="E90" s="20">
        <v>130000</v>
      </c>
      <c r="F90" s="20">
        <v>130000</v>
      </c>
      <c r="G90" s="20">
        <v>130000</v>
      </c>
      <c r="H90" s="20">
        <v>130000</v>
      </c>
      <c r="I90" s="20">
        <v>130000</v>
      </c>
      <c r="J90" s="20">
        <v>130000</v>
      </c>
      <c r="K90" s="20">
        <v>130000</v>
      </c>
      <c r="L90" s="20">
        <v>130000</v>
      </c>
      <c r="M90" s="20">
        <v>130000</v>
      </c>
      <c r="N90" s="20">
        <v>130000</v>
      </c>
      <c r="O90" s="20">
        <v>130000</v>
      </c>
      <c r="P90" s="20">
        <v>130000</v>
      </c>
      <c r="Q90" s="20">
        <v>130000</v>
      </c>
      <c r="R90" s="20">
        <v>130000</v>
      </c>
      <c r="S90" s="20">
        <v>130000</v>
      </c>
      <c r="T90" s="20">
        <v>130000</v>
      </c>
      <c r="U90" s="20">
        <v>130000</v>
      </c>
      <c r="V90" s="20">
        <v>130000</v>
      </c>
      <c r="W90" s="20">
        <v>130000</v>
      </c>
      <c r="X90" s="20">
        <v>130000</v>
      </c>
      <c r="Y90" s="20">
        <v>130000</v>
      </c>
      <c r="Z90" s="20">
        <v>130000</v>
      </c>
      <c r="AA90" s="20">
        <v>130000</v>
      </c>
      <c r="AB90" s="20">
        <f t="shared" si="12"/>
        <v>130000</v>
      </c>
      <c r="AC90" s="20">
        <v>130000</v>
      </c>
      <c r="AD90" s="20"/>
      <c r="AE90" s="37"/>
      <c r="AF90" s="37"/>
      <c r="AG90" s="154">
        <f t="shared" si="9"/>
        <v>0</v>
      </c>
    </row>
    <row r="91" spans="1:33" ht="30.75" customHeight="1">
      <c r="A91" s="27" t="s">
        <v>126</v>
      </c>
      <c r="B91" s="21" t="s">
        <v>26</v>
      </c>
      <c r="C91" s="19">
        <f aca="true" t="shared" si="14" ref="C91:AA91">SUM(C92:C93)</f>
        <v>1410029</v>
      </c>
      <c r="D91" s="19">
        <f t="shared" si="14"/>
        <v>1410029</v>
      </c>
      <c r="E91" s="19">
        <f t="shared" si="14"/>
        <v>1410029</v>
      </c>
      <c r="F91" s="19">
        <f t="shared" si="14"/>
        <v>1410029</v>
      </c>
      <c r="G91" s="19">
        <f t="shared" si="14"/>
        <v>1410029</v>
      </c>
      <c r="H91" s="19">
        <f t="shared" si="14"/>
        <v>1410029</v>
      </c>
      <c r="I91" s="19">
        <f t="shared" si="14"/>
        <v>1410029</v>
      </c>
      <c r="J91" s="19">
        <f t="shared" si="14"/>
        <v>1410029</v>
      </c>
      <c r="K91" s="19">
        <f t="shared" si="14"/>
        <v>1410029</v>
      </c>
      <c r="L91" s="19">
        <f t="shared" si="14"/>
        <v>1410029</v>
      </c>
      <c r="M91" s="19">
        <f t="shared" si="14"/>
        <v>1410029</v>
      </c>
      <c r="N91" s="19">
        <f t="shared" si="14"/>
        <v>1410029</v>
      </c>
      <c r="O91" s="19">
        <f t="shared" si="14"/>
        <v>1410029</v>
      </c>
      <c r="P91" s="19">
        <f t="shared" si="14"/>
        <v>1410029</v>
      </c>
      <c r="Q91" s="19">
        <f t="shared" si="14"/>
        <v>1410029</v>
      </c>
      <c r="R91" s="19">
        <f t="shared" si="14"/>
        <v>1410029</v>
      </c>
      <c r="S91" s="19">
        <f t="shared" si="14"/>
        <v>1410029</v>
      </c>
      <c r="T91" s="19">
        <f t="shared" si="14"/>
        <v>1410029</v>
      </c>
      <c r="U91" s="19">
        <f t="shared" si="14"/>
        <v>1410029</v>
      </c>
      <c r="V91" s="19">
        <f t="shared" si="14"/>
        <v>1410029</v>
      </c>
      <c r="W91" s="19">
        <f t="shared" si="14"/>
        <v>1410029</v>
      </c>
      <c r="X91" s="19">
        <f t="shared" si="14"/>
        <v>1410029</v>
      </c>
      <c r="Y91" s="19">
        <f t="shared" si="14"/>
        <v>1410029</v>
      </c>
      <c r="Z91" s="19">
        <f t="shared" si="14"/>
        <v>1410029</v>
      </c>
      <c r="AA91" s="19">
        <f t="shared" si="14"/>
        <v>1410029</v>
      </c>
      <c r="AB91" s="19">
        <f t="shared" si="12"/>
        <v>2210029</v>
      </c>
      <c r="AC91" s="19">
        <f>SUM(AC92:AC93)</f>
        <v>2210029</v>
      </c>
      <c r="AD91" s="15"/>
      <c r="AE91" s="40"/>
      <c r="AF91" s="23">
        <f>SUM(AF92:AF93)</f>
        <v>1296494.8900000001</v>
      </c>
      <c r="AG91" s="154">
        <f t="shared" si="9"/>
        <v>58.6641573481615</v>
      </c>
    </row>
    <row r="92" spans="1:33" ht="13.5">
      <c r="A92" s="27"/>
      <c r="B92" s="22" t="s">
        <v>22</v>
      </c>
      <c r="C92" s="20">
        <v>1410029</v>
      </c>
      <c r="D92" s="20">
        <v>1410029</v>
      </c>
      <c r="E92" s="20">
        <v>1410029</v>
      </c>
      <c r="F92" s="20">
        <v>1410029</v>
      </c>
      <c r="G92" s="20">
        <v>1410029</v>
      </c>
      <c r="H92" s="20">
        <v>1410029</v>
      </c>
      <c r="I92" s="20">
        <v>1410029</v>
      </c>
      <c r="J92" s="20">
        <v>1410029</v>
      </c>
      <c r="K92" s="20">
        <v>1410029</v>
      </c>
      <c r="L92" s="20">
        <v>1410029</v>
      </c>
      <c r="M92" s="20">
        <v>1410029</v>
      </c>
      <c r="N92" s="20">
        <v>1410029</v>
      </c>
      <c r="O92" s="20">
        <v>1410029</v>
      </c>
      <c r="P92" s="20">
        <v>1410029</v>
      </c>
      <c r="Q92" s="20">
        <v>1410029</v>
      </c>
      <c r="R92" s="20">
        <v>1410029</v>
      </c>
      <c r="S92" s="20">
        <v>1410029</v>
      </c>
      <c r="T92" s="20">
        <v>1410029</v>
      </c>
      <c r="U92" s="20">
        <v>1410029</v>
      </c>
      <c r="V92" s="20">
        <v>1410029</v>
      </c>
      <c r="W92" s="20">
        <v>1410029</v>
      </c>
      <c r="X92" s="20">
        <v>1410029</v>
      </c>
      <c r="Y92" s="20">
        <v>1410029</v>
      </c>
      <c r="Z92" s="20">
        <v>1410029</v>
      </c>
      <c r="AA92" s="20">
        <v>1410029</v>
      </c>
      <c r="AB92" s="20">
        <f t="shared" si="12"/>
        <v>2110029</v>
      </c>
      <c r="AC92" s="20">
        <f>1410029+700000</f>
        <v>2110029</v>
      </c>
      <c r="AD92" s="20"/>
      <c r="AE92" s="37"/>
      <c r="AF92" s="122">
        <f>598673.81+461491.26+118552.34+62088.55+40022.22</f>
        <v>1280828.1800000002</v>
      </c>
      <c r="AG92" s="154">
        <f t="shared" si="9"/>
        <v>60.70192305413813</v>
      </c>
    </row>
    <row r="93" spans="1:33" ht="13.5">
      <c r="A93" s="27"/>
      <c r="B93" s="26" t="s">
        <v>2</v>
      </c>
      <c r="AB93" s="20">
        <f t="shared" si="12"/>
        <v>100000</v>
      </c>
      <c r="AC93" s="20">
        <v>100000</v>
      </c>
      <c r="AD93" s="20"/>
      <c r="AE93" s="37"/>
      <c r="AF93" s="122">
        <f>1533.37+3783.47+2147.3+4585.69+1619.99+617.14+1143.39+236.36</f>
        <v>15666.71</v>
      </c>
      <c r="AG93" s="154">
        <f t="shared" si="9"/>
        <v>15.66671</v>
      </c>
    </row>
    <row r="94" spans="1:33" ht="13.5">
      <c r="A94" s="27" t="s">
        <v>127</v>
      </c>
      <c r="B94" s="21" t="s">
        <v>3</v>
      </c>
      <c r="C94" s="23">
        <v>230000</v>
      </c>
      <c r="D94" s="23">
        <v>230000</v>
      </c>
      <c r="E94" s="23">
        <v>230000</v>
      </c>
      <c r="F94" s="23">
        <v>230000</v>
      </c>
      <c r="G94" s="23">
        <v>230000</v>
      </c>
      <c r="H94" s="23">
        <v>230000</v>
      </c>
      <c r="I94" s="23">
        <v>230000</v>
      </c>
      <c r="J94" s="23">
        <v>230000</v>
      </c>
      <c r="K94" s="23">
        <v>230000</v>
      </c>
      <c r="L94" s="23">
        <v>230000</v>
      </c>
      <c r="M94" s="23">
        <v>230000</v>
      </c>
      <c r="N94" s="23">
        <v>230000</v>
      </c>
      <c r="O94" s="23">
        <v>230000</v>
      </c>
      <c r="P94" s="23">
        <v>230000</v>
      </c>
      <c r="Q94" s="23">
        <v>230000</v>
      </c>
      <c r="R94" s="23">
        <v>230000</v>
      </c>
      <c r="S94" s="23">
        <v>230000</v>
      </c>
      <c r="T94" s="23">
        <v>230000</v>
      </c>
      <c r="U94" s="23">
        <v>230000</v>
      </c>
      <c r="V94" s="23">
        <v>230000</v>
      </c>
      <c r="W94" s="23">
        <v>230000</v>
      </c>
      <c r="X94" s="23">
        <v>230000</v>
      </c>
      <c r="Y94" s="23">
        <v>230000</v>
      </c>
      <c r="Z94" s="23">
        <v>230000</v>
      </c>
      <c r="AA94" s="23">
        <v>230000</v>
      </c>
      <c r="AB94" s="23">
        <f t="shared" si="12"/>
        <v>230000</v>
      </c>
      <c r="AC94" s="23">
        <v>230000</v>
      </c>
      <c r="AD94" s="46"/>
      <c r="AE94" s="23"/>
      <c r="AF94" s="123">
        <f>13200+29766</f>
        <v>42966</v>
      </c>
      <c r="AG94" s="118">
        <f t="shared" si="9"/>
        <v>18.680869565217392</v>
      </c>
    </row>
    <row r="95" spans="1:33" ht="13.5">
      <c r="A95" s="27" t="s">
        <v>128</v>
      </c>
      <c r="B95" s="21" t="s">
        <v>14</v>
      </c>
      <c r="C95" s="23">
        <f aca="true" t="shared" si="15" ref="C95:AA95">SUM(C96:C97)</f>
        <v>118453</v>
      </c>
      <c r="D95" s="23">
        <f t="shared" si="15"/>
        <v>118453</v>
      </c>
      <c r="E95" s="23">
        <f t="shared" si="15"/>
        <v>118453</v>
      </c>
      <c r="F95" s="23">
        <f t="shared" si="15"/>
        <v>118453</v>
      </c>
      <c r="G95" s="23">
        <f t="shared" si="15"/>
        <v>118453</v>
      </c>
      <c r="H95" s="23">
        <f t="shared" si="15"/>
        <v>118453</v>
      </c>
      <c r="I95" s="23">
        <f t="shared" si="15"/>
        <v>118453</v>
      </c>
      <c r="J95" s="23">
        <f t="shared" si="15"/>
        <v>118453</v>
      </c>
      <c r="K95" s="23">
        <f t="shared" si="15"/>
        <v>118453</v>
      </c>
      <c r="L95" s="23">
        <f t="shared" si="15"/>
        <v>118453</v>
      </c>
      <c r="M95" s="23">
        <f t="shared" si="15"/>
        <v>118453</v>
      </c>
      <c r="N95" s="23">
        <f t="shared" si="15"/>
        <v>118453</v>
      </c>
      <c r="O95" s="23">
        <f t="shared" si="15"/>
        <v>118453</v>
      </c>
      <c r="P95" s="23">
        <f t="shared" si="15"/>
        <v>118453</v>
      </c>
      <c r="Q95" s="23">
        <f t="shared" si="15"/>
        <v>118453</v>
      </c>
      <c r="R95" s="23">
        <f t="shared" si="15"/>
        <v>118453</v>
      </c>
      <c r="S95" s="23">
        <f t="shared" si="15"/>
        <v>118453</v>
      </c>
      <c r="T95" s="23">
        <f t="shared" si="15"/>
        <v>118453</v>
      </c>
      <c r="U95" s="23">
        <f t="shared" si="15"/>
        <v>118453</v>
      </c>
      <c r="V95" s="23">
        <f t="shared" si="15"/>
        <v>118453</v>
      </c>
      <c r="W95" s="23">
        <f t="shared" si="15"/>
        <v>118453</v>
      </c>
      <c r="X95" s="23">
        <f t="shared" si="15"/>
        <v>118453</v>
      </c>
      <c r="Y95" s="23">
        <f t="shared" si="15"/>
        <v>118453</v>
      </c>
      <c r="Z95" s="23">
        <f t="shared" si="15"/>
        <v>118453</v>
      </c>
      <c r="AA95" s="23">
        <f t="shared" si="15"/>
        <v>118453</v>
      </c>
      <c r="AB95" s="23">
        <f t="shared" si="12"/>
        <v>118453</v>
      </c>
      <c r="AC95" s="23">
        <f>SUM(AC96:AC97)</f>
        <v>118453</v>
      </c>
      <c r="AD95" s="19"/>
      <c r="AE95" s="68"/>
      <c r="AF95" s="23">
        <f>AF96+AF97</f>
        <v>52542.55</v>
      </c>
      <c r="AG95" s="120">
        <f t="shared" si="9"/>
        <v>44.35729783120731</v>
      </c>
    </row>
    <row r="96" spans="1:33" ht="13.5">
      <c r="A96" s="27"/>
      <c r="B96" s="26" t="s">
        <v>4</v>
      </c>
      <c r="C96" s="20">
        <v>111630</v>
      </c>
      <c r="D96" s="20">
        <v>111630</v>
      </c>
      <c r="E96" s="20">
        <v>111630</v>
      </c>
      <c r="F96" s="20">
        <v>111630</v>
      </c>
      <c r="G96" s="20">
        <v>111630</v>
      </c>
      <c r="H96" s="20">
        <v>111630</v>
      </c>
      <c r="I96" s="20">
        <v>111630</v>
      </c>
      <c r="J96" s="20">
        <v>111630</v>
      </c>
      <c r="K96" s="20">
        <v>111630</v>
      </c>
      <c r="L96" s="20">
        <v>111630</v>
      </c>
      <c r="M96" s="20">
        <v>111630</v>
      </c>
      <c r="N96" s="20">
        <v>111630</v>
      </c>
      <c r="O96" s="20">
        <v>111630</v>
      </c>
      <c r="P96" s="20">
        <v>111630</v>
      </c>
      <c r="Q96" s="20">
        <v>111630</v>
      </c>
      <c r="R96" s="20">
        <v>111630</v>
      </c>
      <c r="S96" s="20">
        <v>111630</v>
      </c>
      <c r="T96" s="20">
        <v>111630</v>
      </c>
      <c r="U96" s="20">
        <v>111630</v>
      </c>
      <c r="V96" s="20">
        <v>111630</v>
      </c>
      <c r="W96" s="20">
        <v>111630</v>
      </c>
      <c r="X96" s="20">
        <v>111630</v>
      </c>
      <c r="Y96" s="20">
        <v>111630</v>
      </c>
      <c r="Z96" s="20">
        <v>111630</v>
      </c>
      <c r="AA96" s="20">
        <v>111630</v>
      </c>
      <c r="AB96" s="20">
        <f t="shared" si="12"/>
        <v>111630</v>
      </c>
      <c r="AC96" s="20">
        <v>111630</v>
      </c>
      <c r="AD96" s="20"/>
      <c r="AE96" s="37"/>
      <c r="AF96" s="42">
        <f>9992.52+20398+20398</f>
        <v>50788.520000000004</v>
      </c>
      <c r="AG96" s="154">
        <f t="shared" si="9"/>
        <v>45.497196094239904</v>
      </c>
    </row>
    <row r="97" spans="1:33" ht="27.75" customHeight="1">
      <c r="A97" s="27"/>
      <c r="B97" s="26" t="s">
        <v>23</v>
      </c>
      <c r="C97" s="20">
        <v>6823</v>
      </c>
      <c r="D97" s="20">
        <v>6823</v>
      </c>
      <c r="E97" s="20">
        <v>6823</v>
      </c>
      <c r="F97" s="20">
        <v>6823</v>
      </c>
      <c r="G97" s="20">
        <v>6823</v>
      </c>
      <c r="H97" s="20">
        <v>6823</v>
      </c>
      <c r="I97" s="20">
        <v>6823</v>
      </c>
      <c r="J97" s="20">
        <v>6823</v>
      </c>
      <c r="K97" s="20">
        <v>6823</v>
      </c>
      <c r="L97" s="20">
        <v>6823</v>
      </c>
      <c r="M97" s="20">
        <v>6823</v>
      </c>
      <c r="N97" s="20">
        <v>6823</v>
      </c>
      <c r="O97" s="20">
        <v>6823</v>
      </c>
      <c r="P97" s="20">
        <v>6823</v>
      </c>
      <c r="Q97" s="20">
        <v>6823</v>
      </c>
      <c r="R97" s="20">
        <v>6823</v>
      </c>
      <c r="S97" s="20">
        <v>6823</v>
      </c>
      <c r="T97" s="20">
        <v>6823</v>
      </c>
      <c r="U97" s="20">
        <v>6823</v>
      </c>
      <c r="V97" s="20">
        <v>6823</v>
      </c>
      <c r="W97" s="20">
        <v>6823</v>
      </c>
      <c r="X97" s="20">
        <v>6823</v>
      </c>
      <c r="Y97" s="20">
        <v>6823</v>
      </c>
      <c r="Z97" s="20">
        <v>6823</v>
      </c>
      <c r="AA97" s="20">
        <v>6823</v>
      </c>
      <c r="AB97" s="20">
        <f t="shared" si="12"/>
        <v>6823</v>
      </c>
      <c r="AC97" s="20">
        <v>6823</v>
      </c>
      <c r="AD97" s="20"/>
      <c r="AE97" s="37"/>
      <c r="AF97" s="42">
        <f>321.84+724.14+708.05</f>
        <v>1754.03</v>
      </c>
      <c r="AG97" s="154">
        <f t="shared" si="9"/>
        <v>25.707606624651913</v>
      </c>
    </row>
    <row r="98" spans="1:33" ht="13.5">
      <c r="A98" s="27" t="s">
        <v>129</v>
      </c>
      <c r="B98" s="21" t="s">
        <v>5</v>
      </c>
      <c r="C98" s="23">
        <f aca="true" t="shared" si="16" ref="C98:AA98">SUM(C99:C100)</f>
        <v>2626</v>
      </c>
      <c r="D98" s="23">
        <f t="shared" si="16"/>
        <v>2626</v>
      </c>
      <c r="E98" s="23">
        <f t="shared" si="16"/>
        <v>2626</v>
      </c>
      <c r="F98" s="23">
        <f t="shared" si="16"/>
        <v>2626</v>
      </c>
      <c r="G98" s="23">
        <f t="shared" si="16"/>
        <v>2626</v>
      </c>
      <c r="H98" s="23">
        <f t="shared" si="16"/>
        <v>2626</v>
      </c>
      <c r="I98" s="23">
        <f t="shared" si="16"/>
        <v>2626</v>
      </c>
      <c r="J98" s="23">
        <f t="shared" si="16"/>
        <v>2626</v>
      </c>
      <c r="K98" s="23">
        <f t="shared" si="16"/>
        <v>2626</v>
      </c>
      <c r="L98" s="23">
        <f t="shared" si="16"/>
        <v>2626</v>
      </c>
      <c r="M98" s="23">
        <f t="shared" si="16"/>
        <v>2626</v>
      </c>
      <c r="N98" s="23">
        <f t="shared" si="16"/>
        <v>2626</v>
      </c>
      <c r="O98" s="23">
        <f t="shared" si="16"/>
        <v>2626</v>
      </c>
      <c r="P98" s="23">
        <f t="shared" si="16"/>
        <v>2626</v>
      </c>
      <c r="Q98" s="23">
        <f t="shared" si="16"/>
        <v>2626</v>
      </c>
      <c r="R98" s="23">
        <f t="shared" si="16"/>
        <v>2626</v>
      </c>
      <c r="S98" s="23">
        <f t="shared" si="16"/>
        <v>2626</v>
      </c>
      <c r="T98" s="23">
        <f t="shared" si="16"/>
        <v>2626</v>
      </c>
      <c r="U98" s="23">
        <f t="shared" si="16"/>
        <v>2626</v>
      </c>
      <c r="V98" s="23">
        <f t="shared" si="16"/>
        <v>2626</v>
      </c>
      <c r="W98" s="23">
        <f t="shared" si="16"/>
        <v>2626</v>
      </c>
      <c r="X98" s="23">
        <f t="shared" si="16"/>
        <v>2626</v>
      </c>
      <c r="Y98" s="23">
        <f t="shared" si="16"/>
        <v>2626</v>
      </c>
      <c r="Z98" s="23">
        <f t="shared" si="16"/>
        <v>2626</v>
      </c>
      <c r="AA98" s="23">
        <f t="shared" si="16"/>
        <v>2626</v>
      </c>
      <c r="AB98" s="23">
        <f t="shared" si="12"/>
        <v>2626</v>
      </c>
      <c r="AC98" s="23">
        <f>SUM(AC99:AC100)</f>
        <v>2626</v>
      </c>
      <c r="AD98" s="20"/>
      <c r="AE98" s="37"/>
      <c r="AF98" s="23">
        <f>AF99+AF100</f>
        <v>1062.76</v>
      </c>
      <c r="AG98" s="120">
        <f t="shared" si="9"/>
        <v>40.47067783701447</v>
      </c>
    </row>
    <row r="99" spans="1:33" ht="13.5">
      <c r="A99" s="11"/>
      <c r="B99" s="26" t="s">
        <v>6</v>
      </c>
      <c r="C99" s="20">
        <v>2474</v>
      </c>
      <c r="D99" s="20">
        <v>2474</v>
      </c>
      <c r="E99" s="20">
        <v>2474</v>
      </c>
      <c r="F99" s="20">
        <v>2474</v>
      </c>
      <c r="G99" s="20">
        <v>2474</v>
      </c>
      <c r="H99" s="20">
        <v>2474</v>
      </c>
      <c r="I99" s="20">
        <v>2474</v>
      </c>
      <c r="J99" s="20">
        <v>2474</v>
      </c>
      <c r="K99" s="20">
        <v>2474</v>
      </c>
      <c r="L99" s="20">
        <v>2474</v>
      </c>
      <c r="M99" s="20">
        <v>2474</v>
      </c>
      <c r="N99" s="20">
        <v>2474</v>
      </c>
      <c r="O99" s="20">
        <v>2474</v>
      </c>
      <c r="P99" s="20">
        <v>2474</v>
      </c>
      <c r="Q99" s="20">
        <v>2474</v>
      </c>
      <c r="R99" s="20">
        <v>2474</v>
      </c>
      <c r="S99" s="20">
        <v>2474</v>
      </c>
      <c r="T99" s="20">
        <v>2474</v>
      </c>
      <c r="U99" s="20">
        <v>2474</v>
      </c>
      <c r="V99" s="20">
        <v>2474</v>
      </c>
      <c r="W99" s="20">
        <v>2474</v>
      </c>
      <c r="X99" s="20">
        <v>2474</v>
      </c>
      <c r="Y99" s="20">
        <v>2474</v>
      </c>
      <c r="Z99" s="20">
        <v>2474</v>
      </c>
      <c r="AA99" s="20">
        <v>2474</v>
      </c>
      <c r="AB99" s="20">
        <f t="shared" si="12"/>
        <v>2474</v>
      </c>
      <c r="AC99" s="20">
        <v>2474</v>
      </c>
      <c r="AD99" s="20"/>
      <c r="AE99" s="37"/>
      <c r="AF99" s="184">
        <f>622.33+331.71</f>
        <v>954.04</v>
      </c>
      <c r="AG99" s="154">
        <f t="shared" si="9"/>
        <v>38.5626515763945</v>
      </c>
    </row>
    <row r="100" spans="1:33" ht="13.5">
      <c r="A100" s="11"/>
      <c r="B100" s="26" t="s">
        <v>24</v>
      </c>
      <c r="C100" s="20">
        <v>152</v>
      </c>
      <c r="D100" s="20">
        <v>152</v>
      </c>
      <c r="E100" s="20">
        <v>152</v>
      </c>
      <c r="F100" s="20">
        <v>152</v>
      </c>
      <c r="G100" s="20">
        <v>152</v>
      </c>
      <c r="H100" s="20">
        <v>152</v>
      </c>
      <c r="I100" s="20">
        <v>152</v>
      </c>
      <c r="J100" s="20">
        <v>152</v>
      </c>
      <c r="K100" s="20">
        <v>152</v>
      </c>
      <c r="L100" s="20">
        <v>152</v>
      </c>
      <c r="M100" s="20">
        <v>152</v>
      </c>
      <c r="N100" s="20">
        <v>152</v>
      </c>
      <c r="O100" s="20">
        <v>152</v>
      </c>
      <c r="P100" s="20">
        <v>152</v>
      </c>
      <c r="Q100" s="20">
        <v>152</v>
      </c>
      <c r="R100" s="20">
        <v>152</v>
      </c>
      <c r="S100" s="20">
        <v>152</v>
      </c>
      <c r="T100" s="20">
        <v>152</v>
      </c>
      <c r="U100" s="20">
        <v>152</v>
      </c>
      <c r="V100" s="20">
        <v>152</v>
      </c>
      <c r="W100" s="20">
        <v>152</v>
      </c>
      <c r="X100" s="20">
        <v>152</v>
      </c>
      <c r="Y100" s="20">
        <v>152</v>
      </c>
      <c r="Z100" s="20">
        <v>152</v>
      </c>
      <c r="AA100" s="20">
        <v>152</v>
      </c>
      <c r="AB100" s="20">
        <f t="shared" si="12"/>
        <v>152</v>
      </c>
      <c r="AC100" s="20">
        <v>152</v>
      </c>
      <c r="AD100" s="20"/>
      <c r="AE100" s="37"/>
      <c r="AF100" s="184">
        <f>72.48+36.24</f>
        <v>108.72</v>
      </c>
      <c r="AG100" s="154">
        <f t="shared" si="9"/>
        <v>71.52631578947368</v>
      </c>
    </row>
    <row r="101" spans="1:33" s="3" customFormat="1" ht="35.25" customHeight="1">
      <c r="A101" s="28" t="s">
        <v>72</v>
      </c>
      <c r="B101" s="24" t="s">
        <v>48</v>
      </c>
      <c r="C101" s="25">
        <f aca="true" t="shared" si="17" ref="C101:AA101">C102</f>
        <v>35280</v>
      </c>
      <c r="D101" s="25">
        <f t="shared" si="17"/>
        <v>35280</v>
      </c>
      <c r="E101" s="25">
        <f t="shared" si="17"/>
        <v>35280</v>
      </c>
      <c r="F101" s="25">
        <f t="shared" si="17"/>
        <v>35280</v>
      </c>
      <c r="G101" s="25">
        <f t="shared" si="17"/>
        <v>35280</v>
      </c>
      <c r="H101" s="25">
        <f t="shared" si="17"/>
        <v>35280</v>
      </c>
      <c r="I101" s="25">
        <f t="shared" si="17"/>
        <v>35280</v>
      </c>
      <c r="J101" s="25">
        <f t="shared" si="17"/>
        <v>35280</v>
      </c>
      <c r="K101" s="25">
        <f t="shared" si="17"/>
        <v>35280</v>
      </c>
      <c r="L101" s="25">
        <f t="shared" si="17"/>
        <v>35280</v>
      </c>
      <c r="M101" s="25">
        <f t="shared" si="17"/>
        <v>35280</v>
      </c>
      <c r="N101" s="25">
        <f t="shared" si="17"/>
        <v>35280</v>
      </c>
      <c r="O101" s="25">
        <f t="shared" si="17"/>
        <v>35280</v>
      </c>
      <c r="P101" s="25">
        <f t="shared" si="17"/>
        <v>35280</v>
      </c>
      <c r="Q101" s="25">
        <f t="shared" si="17"/>
        <v>35280</v>
      </c>
      <c r="R101" s="25">
        <f t="shared" si="17"/>
        <v>35280</v>
      </c>
      <c r="S101" s="25">
        <f t="shared" si="17"/>
        <v>35280</v>
      </c>
      <c r="T101" s="25">
        <f t="shared" si="17"/>
        <v>35280</v>
      </c>
      <c r="U101" s="25">
        <f t="shared" si="17"/>
        <v>35280</v>
      </c>
      <c r="V101" s="25">
        <f t="shared" si="17"/>
        <v>35280</v>
      </c>
      <c r="W101" s="25">
        <f t="shared" si="17"/>
        <v>35280</v>
      </c>
      <c r="X101" s="25">
        <f t="shared" si="17"/>
        <v>35280</v>
      </c>
      <c r="Y101" s="25">
        <f t="shared" si="17"/>
        <v>35280</v>
      </c>
      <c r="Z101" s="25">
        <f t="shared" si="17"/>
        <v>35280</v>
      </c>
      <c r="AA101" s="25">
        <f t="shared" si="17"/>
        <v>35280</v>
      </c>
      <c r="AB101" s="25">
        <f t="shared" si="12"/>
        <v>35280</v>
      </c>
      <c r="AC101" s="25">
        <f>AC102</f>
        <v>35280</v>
      </c>
      <c r="AD101" s="83"/>
      <c r="AE101" s="25"/>
      <c r="AF101" s="119"/>
      <c r="AG101" s="117">
        <f t="shared" si="9"/>
        <v>0</v>
      </c>
    </row>
    <row r="102" spans="1:33" ht="30" customHeight="1">
      <c r="A102" s="90" t="s">
        <v>103</v>
      </c>
      <c r="B102" s="91" t="s">
        <v>38</v>
      </c>
      <c r="C102" s="18">
        <v>35280</v>
      </c>
      <c r="D102" s="18">
        <v>35280</v>
      </c>
      <c r="E102" s="18">
        <v>35280</v>
      </c>
      <c r="F102" s="18">
        <v>35280</v>
      </c>
      <c r="G102" s="18">
        <v>35280</v>
      </c>
      <c r="H102" s="18">
        <v>35280</v>
      </c>
      <c r="I102" s="18">
        <v>35280</v>
      </c>
      <c r="J102" s="18">
        <v>35280</v>
      </c>
      <c r="K102" s="18">
        <v>35280</v>
      </c>
      <c r="L102" s="18">
        <v>35280</v>
      </c>
      <c r="M102" s="18">
        <v>35280</v>
      </c>
      <c r="N102" s="18">
        <v>35280</v>
      </c>
      <c r="O102" s="18">
        <v>35280</v>
      </c>
      <c r="P102" s="18">
        <v>35280</v>
      </c>
      <c r="Q102" s="18">
        <v>35280</v>
      </c>
      <c r="R102" s="18">
        <v>35280</v>
      </c>
      <c r="S102" s="18">
        <v>35280</v>
      </c>
      <c r="T102" s="18">
        <v>35280</v>
      </c>
      <c r="U102" s="18">
        <v>35280</v>
      </c>
      <c r="V102" s="18">
        <v>35280</v>
      </c>
      <c r="W102" s="18">
        <v>35280</v>
      </c>
      <c r="X102" s="18">
        <v>35280</v>
      </c>
      <c r="Y102" s="18">
        <v>35280</v>
      </c>
      <c r="Z102" s="18">
        <v>35280</v>
      </c>
      <c r="AA102" s="18">
        <v>35280</v>
      </c>
      <c r="AB102" s="58">
        <f t="shared" si="12"/>
        <v>35280</v>
      </c>
      <c r="AC102" s="58">
        <v>35280</v>
      </c>
      <c r="AD102" s="19"/>
      <c r="AE102" s="58"/>
      <c r="AF102" s="37"/>
      <c r="AG102" s="118">
        <f t="shared" si="9"/>
        <v>0</v>
      </c>
    </row>
    <row r="103" spans="1:33" s="3" customFormat="1" ht="30">
      <c r="A103" s="28" t="s">
        <v>104</v>
      </c>
      <c r="B103" s="24" t="s">
        <v>0</v>
      </c>
      <c r="C103" s="25">
        <f aca="true" t="shared" si="18" ref="C103:AA103">SUM(C105:C106)</f>
        <v>893820</v>
      </c>
      <c r="D103" s="25">
        <f t="shared" si="18"/>
        <v>893820</v>
      </c>
      <c r="E103" s="25">
        <f t="shared" si="18"/>
        <v>893820</v>
      </c>
      <c r="F103" s="25">
        <f t="shared" si="18"/>
        <v>893820</v>
      </c>
      <c r="G103" s="25">
        <f t="shared" si="18"/>
        <v>893820</v>
      </c>
      <c r="H103" s="25">
        <f t="shared" si="18"/>
        <v>893820</v>
      </c>
      <c r="I103" s="25">
        <f t="shared" si="18"/>
        <v>893820</v>
      </c>
      <c r="J103" s="25">
        <f t="shared" si="18"/>
        <v>893820</v>
      </c>
      <c r="K103" s="25">
        <f t="shared" si="18"/>
        <v>893820</v>
      </c>
      <c r="L103" s="25">
        <f t="shared" si="18"/>
        <v>893820</v>
      </c>
      <c r="M103" s="25">
        <f t="shared" si="18"/>
        <v>893820</v>
      </c>
      <c r="N103" s="25">
        <f t="shared" si="18"/>
        <v>893820</v>
      </c>
      <c r="O103" s="25">
        <f t="shared" si="18"/>
        <v>893820</v>
      </c>
      <c r="P103" s="25">
        <f t="shared" si="18"/>
        <v>893820</v>
      </c>
      <c r="Q103" s="25">
        <f t="shared" si="18"/>
        <v>893820</v>
      </c>
      <c r="R103" s="25">
        <f t="shared" si="18"/>
        <v>893820</v>
      </c>
      <c r="S103" s="25">
        <f t="shared" si="18"/>
        <v>893820</v>
      </c>
      <c r="T103" s="25">
        <f t="shared" si="18"/>
        <v>893820</v>
      </c>
      <c r="U103" s="25">
        <f t="shared" si="18"/>
        <v>893820</v>
      </c>
      <c r="V103" s="25">
        <f t="shared" si="18"/>
        <v>893820</v>
      </c>
      <c r="W103" s="25">
        <f t="shared" si="18"/>
        <v>893820</v>
      </c>
      <c r="X103" s="25">
        <f t="shared" si="18"/>
        <v>893820</v>
      </c>
      <c r="Y103" s="25">
        <f t="shared" si="18"/>
        <v>893820</v>
      </c>
      <c r="Z103" s="25">
        <f t="shared" si="18"/>
        <v>893820</v>
      </c>
      <c r="AA103" s="25">
        <f t="shared" si="18"/>
        <v>893820</v>
      </c>
      <c r="AB103" s="25">
        <f>AC103+AD103</f>
        <v>4583820</v>
      </c>
      <c r="AC103" s="55">
        <f>SUM(AC105:AC106)+AC107+AC108</f>
        <v>4393820</v>
      </c>
      <c r="AD103" s="25">
        <f>AD107</f>
        <v>190000</v>
      </c>
      <c r="AE103" s="25">
        <f>AE107</f>
        <v>190000</v>
      </c>
      <c r="AF103" s="55">
        <f>SUM(AF105:AF108)</f>
        <v>583762.42</v>
      </c>
      <c r="AG103" s="117">
        <f t="shared" si="9"/>
        <v>12.735282362745485</v>
      </c>
    </row>
    <row r="104" spans="1:33" ht="13.5">
      <c r="A104" s="27" t="s">
        <v>116</v>
      </c>
      <c r="B104" s="29" t="s">
        <v>16</v>
      </c>
      <c r="C104" s="23">
        <f aca="true" t="shared" si="19" ref="C104:AA104">C105+C106</f>
        <v>893820</v>
      </c>
      <c r="D104" s="23">
        <f t="shared" si="19"/>
        <v>893820</v>
      </c>
      <c r="E104" s="23">
        <f t="shared" si="19"/>
        <v>893820</v>
      </c>
      <c r="F104" s="23">
        <f t="shared" si="19"/>
        <v>893820</v>
      </c>
      <c r="G104" s="23">
        <f t="shared" si="19"/>
        <v>893820</v>
      </c>
      <c r="H104" s="23">
        <f t="shared" si="19"/>
        <v>893820</v>
      </c>
      <c r="I104" s="23">
        <f t="shared" si="19"/>
        <v>893820</v>
      </c>
      <c r="J104" s="23">
        <f t="shared" si="19"/>
        <v>893820</v>
      </c>
      <c r="K104" s="23">
        <f t="shared" si="19"/>
        <v>893820</v>
      </c>
      <c r="L104" s="23">
        <f t="shared" si="19"/>
        <v>893820</v>
      </c>
      <c r="M104" s="23">
        <f t="shared" si="19"/>
        <v>893820</v>
      </c>
      <c r="N104" s="23">
        <f t="shared" si="19"/>
        <v>893820</v>
      </c>
      <c r="O104" s="23">
        <f t="shared" si="19"/>
        <v>893820</v>
      </c>
      <c r="P104" s="23">
        <f t="shared" si="19"/>
        <v>893820</v>
      </c>
      <c r="Q104" s="23">
        <f t="shared" si="19"/>
        <v>893820</v>
      </c>
      <c r="R104" s="23">
        <f t="shared" si="19"/>
        <v>893820</v>
      </c>
      <c r="S104" s="23">
        <f t="shared" si="19"/>
        <v>893820</v>
      </c>
      <c r="T104" s="23">
        <f t="shared" si="19"/>
        <v>893820</v>
      </c>
      <c r="U104" s="23">
        <f t="shared" si="19"/>
        <v>893820</v>
      </c>
      <c r="V104" s="23">
        <f t="shared" si="19"/>
        <v>893820</v>
      </c>
      <c r="W104" s="23">
        <f t="shared" si="19"/>
        <v>893820</v>
      </c>
      <c r="X104" s="23">
        <f t="shared" si="19"/>
        <v>893820</v>
      </c>
      <c r="Y104" s="23">
        <f t="shared" si="19"/>
        <v>893820</v>
      </c>
      <c r="Z104" s="23">
        <f t="shared" si="19"/>
        <v>893820</v>
      </c>
      <c r="AA104" s="23">
        <f t="shared" si="19"/>
        <v>893820</v>
      </c>
      <c r="AB104" s="23">
        <f>AC104+AD104+AB107</f>
        <v>1273820</v>
      </c>
      <c r="AC104" s="70">
        <f>AC105+AC106</f>
        <v>893820</v>
      </c>
      <c r="AD104" s="23">
        <f>AD105+AD106+AD107</f>
        <v>190000</v>
      </c>
      <c r="AE104" s="23">
        <f>AE105+AE106+AE107</f>
        <v>190000</v>
      </c>
      <c r="AF104" s="23">
        <f>AF105+AF106+AF107</f>
        <v>583762.42</v>
      </c>
      <c r="AG104" s="120">
        <f t="shared" si="9"/>
        <v>45.82770093105777</v>
      </c>
    </row>
    <row r="105" spans="1:33" ht="51.75">
      <c r="A105" s="10"/>
      <c r="B105" s="91" t="s">
        <v>47</v>
      </c>
      <c r="C105" s="20">
        <v>821820</v>
      </c>
      <c r="D105" s="20">
        <v>821820</v>
      </c>
      <c r="E105" s="20">
        <v>821820</v>
      </c>
      <c r="F105" s="20">
        <v>821820</v>
      </c>
      <c r="G105" s="20">
        <v>821820</v>
      </c>
      <c r="H105" s="20">
        <v>821820</v>
      </c>
      <c r="I105" s="20">
        <v>821820</v>
      </c>
      <c r="J105" s="20">
        <v>821820</v>
      </c>
      <c r="K105" s="20">
        <v>821820</v>
      </c>
      <c r="L105" s="20">
        <v>821820</v>
      </c>
      <c r="M105" s="20">
        <v>821820</v>
      </c>
      <c r="N105" s="20">
        <v>821820</v>
      </c>
      <c r="O105" s="20">
        <v>821820</v>
      </c>
      <c r="P105" s="20">
        <v>821820</v>
      </c>
      <c r="Q105" s="20">
        <v>821820</v>
      </c>
      <c r="R105" s="20">
        <v>821820</v>
      </c>
      <c r="S105" s="20">
        <v>821820</v>
      </c>
      <c r="T105" s="20">
        <v>821820</v>
      </c>
      <c r="U105" s="20">
        <v>821820</v>
      </c>
      <c r="V105" s="20">
        <v>821820</v>
      </c>
      <c r="W105" s="20">
        <v>821820</v>
      </c>
      <c r="X105" s="20">
        <v>821820</v>
      </c>
      <c r="Y105" s="20">
        <v>821820</v>
      </c>
      <c r="Z105" s="20">
        <v>821820</v>
      </c>
      <c r="AA105" s="20">
        <v>821820</v>
      </c>
      <c r="AB105" s="58">
        <f t="shared" si="12"/>
        <v>821820</v>
      </c>
      <c r="AC105" s="57">
        <v>821820</v>
      </c>
      <c r="AD105" s="20"/>
      <c r="AE105" s="37"/>
      <c r="AF105" s="124">
        <f>109655.91+23259.68+27706.63+7350+18352.85+22641.26+10396+21237.21+24907.67+7350+20122.36+21974.45+7350+19995.93+8446.2+24606+18560.27</f>
        <v>393912.42000000004</v>
      </c>
      <c r="AG105" s="118">
        <f t="shared" si="9"/>
        <v>47.93171497408192</v>
      </c>
    </row>
    <row r="106" spans="1:33" ht="25.5">
      <c r="A106" s="10"/>
      <c r="B106" s="91" t="s">
        <v>44</v>
      </c>
      <c r="C106" s="20">
        <v>72000</v>
      </c>
      <c r="D106" s="20">
        <v>72000</v>
      </c>
      <c r="E106" s="20">
        <v>72000</v>
      </c>
      <c r="F106" s="20">
        <v>72000</v>
      </c>
      <c r="G106" s="20">
        <v>72000</v>
      </c>
      <c r="H106" s="20">
        <v>72000</v>
      </c>
      <c r="I106" s="20">
        <v>72000</v>
      </c>
      <c r="J106" s="20">
        <v>72000</v>
      </c>
      <c r="K106" s="20">
        <v>72000</v>
      </c>
      <c r="L106" s="20">
        <v>72000</v>
      </c>
      <c r="M106" s="20">
        <v>72000</v>
      </c>
      <c r="N106" s="20">
        <v>72000</v>
      </c>
      <c r="O106" s="20">
        <v>72000</v>
      </c>
      <c r="P106" s="20">
        <v>72000</v>
      </c>
      <c r="Q106" s="20">
        <v>72000</v>
      </c>
      <c r="R106" s="20">
        <v>72000</v>
      </c>
      <c r="S106" s="20">
        <v>72000</v>
      </c>
      <c r="T106" s="20">
        <v>72000</v>
      </c>
      <c r="U106" s="20">
        <v>72000</v>
      </c>
      <c r="V106" s="20">
        <v>72000</v>
      </c>
      <c r="W106" s="20">
        <v>72000</v>
      </c>
      <c r="X106" s="20">
        <v>72000</v>
      </c>
      <c r="Y106" s="20">
        <v>72000</v>
      </c>
      <c r="Z106" s="20">
        <v>72000</v>
      </c>
      <c r="AA106" s="20">
        <v>72000</v>
      </c>
      <c r="AB106" s="58">
        <f t="shared" si="12"/>
        <v>72000</v>
      </c>
      <c r="AC106" s="57">
        <v>72000</v>
      </c>
      <c r="AD106" s="19"/>
      <c r="AE106" s="37"/>
      <c r="AF106" s="37"/>
      <c r="AG106" s="118">
        <f t="shared" si="9"/>
        <v>0</v>
      </c>
    </row>
    <row r="107" spans="1:33" ht="25.5">
      <c r="A107" s="10"/>
      <c r="B107" s="105" t="s">
        <v>163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5">
        <f>AD107</f>
        <v>190000</v>
      </c>
      <c r="AC107" s="144"/>
      <c r="AD107" s="147">
        <f>50000+140000</f>
        <v>190000</v>
      </c>
      <c r="AE107" s="147">
        <f>AD107</f>
        <v>190000</v>
      </c>
      <c r="AF107" s="147">
        <v>189850</v>
      </c>
      <c r="AG107" s="118">
        <f t="shared" si="9"/>
        <v>99.92105263157895</v>
      </c>
    </row>
    <row r="108" spans="1:33" ht="25.5">
      <c r="A108" s="165" t="s">
        <v>173</v>
      </c>
      <c r="B108" s="169" t="s">
        <v>174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45">
        <f>AC108</f>
        <v>3500000</v>
      </c>
      <c r="AC108" s="166">
        <v>3500000</v>
      </c>
      <c r="AD108" s="108"/>
      <c r="AE108" s="108"/>
      <c r="AF108" s="146"/>
      <c r="AG108" s="120">
        <f t="shared" si="9"/>
        <v>0</v>
      </c>
    </row>
    <row r="109" spans="1:33" ht="135">
      <c r="A109" s="172" t="s">
        <v>182</v>
      </c>
      <c r="B109" s="173" t="s">
        <v>186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7">
        <f>AB110+AB111</f>
        <v>3572000</v>
      </c>
      <c r="AC109" s="177">
        <f>AC110+AC111</f>
        <v>3572000</v>
      </c>
      <c r="AD109" s="178"/>
      <c r="AE109" s="178"/>
      <c r="AF109" s="180">
        <f>AF110+AF111</f>
        <v>3450310.7</v>
      </c>
      <c r="AG109" s="117">
        <f t="shared" si="9"/>
        <v>96.59324468085106</v>
      </c>
    </row>
    <row r="110" spans="1:33" ht="64.5">
      <c r="A110" s="126" t="s">
        <v>130</v>
      </c>
      <c r="B110" s="176" t="s">
        <v>187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1">
        <f>AC110</f>
        <v>2000000</v>
      </c>
      <c r="AC110" s="57">
        <v>2000000</v>
      </c>
      <c r="AD110" s="57"/>
      <c r="AE110" s="57"/>
      <c r="AF110" s="179">
        <f>325955+346726+306813+303945+272655+397627</f>
        <v>1953721</v>
      </c>
      <c r="AG110" s="118">
        <f t="shared" si="9"/>
        <v>97.68605000000001</v>
      </c>
    </row>
    <row r="111" spans="1:33" ht="64.5">
      <c r="A111" s="126" t="s">
        <v>183</v>
      </c>
      <c r="B111" s="176" t="s">
        <v>188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1">
        <f>AC111</f>
        <v>1572000</v>
      </c>
      <c r="AC111" s="57">
        <v>1572000</v>
      </c>
      <c r="AD111" s="57"/>
      <c r="AE111" s="57"/>
      <c r="AF111" s="179">
        <f>148901.64+155926.52+196037.73+151396.99+260996.25+259192.85+324137.72</f>
        <v>1496589.7</v>
      </c>
      <c r="AG111" s="118">
        <f t="shared" si="9"/>
        <v>95.20290712468193</v>
      </c>
    </row>
    <row r="112" spans="1:33" ht="48.75" customHeight="1">
      <c r="A112" s="28" t="s">
        <v>136</v>
      </c>
      <c r="B112" s="175" t="s">
        <v>73</v>
      </c>
      <c r="C112" s="167" t="e">
        <f>SUM(#REF!)</f>
        <v>#REF!</v>
      </c>
      <c r="D112" s="69" t="e">
        <f>SUM(#REF!)</f>
        <v>#REF!</v>
      </c>
      <c r="E112" s="69" t="e">
        <f>SUM(#REF!)</f>
        <v>#REF!</v>
      </c>
      <c r="F112" s="69" t="e">
        <f>SUM(#REF!)</f>
        <v>#REF!</v>
      </c>
      <c r="G112" s="69" t="e">
        <f>SUM(#REF!)</f>
        <v>#REF!</v>
      </c>
      <c r="H112" s="69" t="e">
        <f>SUM(#REF!)</f>
        <v>#REF!</v>
      </c>
      <c r="I112" s="69" t="e">
        <f>SUM(#REF!)</f>
        <v>#REF!</v>
      </c>
      <c r="J112" s="69" t="e">
        <f>SUM(#REF!)</f>
        <v>#REF!</v>
      </c>
      <c r="K112" s="69" t="e">
        <f>SUM(#REF!)</f>
        <v>#REF!</v>
      </c>
      <c r="L112" s="69" t="e">
        <f>SUM(#REF!)</f>
        <v>#REF!</v>
      </c>
      <c r="M112" s="69" t="e">
        <f>SUM(#REF!)</f>
        <v>#REF!</v>
      </c>
      <c r="N112" s="69" t="e">
        <f>SUM(#REF!)</f>
        <v>#REF!</v>
      </c>
      <c r="O112" s="69" t="e">
        <f>SUM(#REF!)</f>
        <v>#REF!</v>
      </c>
      <c r="P112" s="69" t="e">
        <f>SUM(#REF!)</f>
        <v>#REF!</v>
      </c>
      <c r="Q112" s="69" t="e">
        <f>SUM(#REF!)</f>
        <v>#REF!</v>
      </c>
      <c r="R112" s="69" t="e">
        <f>SUM(#REF!)</f>
        <v>#REF!</v>
      </c>
      <c r="S112" s="69" t="e">
        <f>SUM(#REF!)</f>
        <v>#REF!</v>
      </c>
      <c r="T112" s="69" t="e">
        <f>SUM(#REF!)</f>
        <v>#REF!</v>
      </c>
      <c r="U112" s="69" t="e">
        <f>SUM(#REF!)</f>
        <v>#REF!</v>
      </c>
      <c r="V112" s="69" t="e">
        <f>SUM(#REF!)</f>
        <v>#REF!</v>
      </c>
      <c r="W112" s="69" t="e">
        <f>SUM(#REF!)</f>
        <v>#REF!</v>
      </c>
      <c r="X112" s="69" t="e">
        <f>SUM(#REF!)</f>
        <v>#REF!</v>
      </c>
      <c r="Y112" s="69" t="e">
        <f>SUM(#REF!)</f>
        <v>#REF!</v>
      </c>
      <c r="Z112" s="69" t="e">
        <f>SUM(#REF!)</f>
        <v>#REF!</v>
      </c>
      <c r="AA112" s="69" t="e">
        <f>SUM(#REF!)</f>
        <v>#REF!</v>
      </c>
      <c r="AB112" s="89">
        <f>AB113+AD112</f>
        <v>16829251.08</v>
      </c>
      <c r="AC112" s="167">
        <f>AC113</f>
        <v>16829251.08</v>
      </c>
      <c r="AD112" s="156"/>
      <c r="AE112" s="69"/>
      <c r="AF112" s="155">
        <f>AF113</f>
        <v>9761914.040000001</v>
      </c>
      <c r="AG112" s="117">
        <f t="shared" si="9"/>
        <v>58.00563550686536</v>
      </c>
    </row>
    <row r="113" spans="1:33" ht="51.75">
      <c r="A113" s="112" t="s">
        <v>138</v>
      </c>
      <c r="B113" s="106" t="s">
        <v>74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8">
        <f>AC113+AD113</f>
        <v>16829251.08</v>
      </c>
      <c r="AC113" s="108">
        <f>829251.08+16000000</f>
        <v>16829251.08</v>
      </c>
      <c r="AD113" s="77"/>
      <c r="AE113" s="57"/>
      <c r="AF113" s="108">
        <f>9923711.13-161797.09</f>
        <v>9761914.040000001</v>
      </c>
      <c r="AG113" s="118">
        <f t="shared" si="9"/>
        <v>58.00563550686536</v>
      </c>
    </row>
    <row r="114" spans="1:33" ht="30">
      <c r="A114" s="101" t="s">
        <v>184</v>
      </c>
      <c r="B114" s="109" t="s">
        <v>137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10">
        <f>AC114</f>
        <v>25000000</v>
      </c>
      <c r="AC114" s="110">
        <f>AC115</f>
        <v>25000000</v>
      </c>
      <c r="AD114" s="111"/>
      <c r="AE114" s="89"/>
      <c r="AF114" s="119"/>
      <c r="AG114" s="117">
        <f t="shared" si="9"/>
        <v>0</v>
      </c>
    </row>
    <row r="115" spans="1:33" ht="80.25" customHeight="1">
      <c r="A115" s="90" t="s">
        <v>185</v>
      </c>
      <c r="B115" s="113" t="s">
        <v>179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108">
        <f>AC115+AD115</f>
        <v>25000000</v>
      </c>
      <c r="AC115" s="57">
        <v>25000000</v>
      </c>
      <c r="AD115" s="71"/>
      <c r="AE115" s="57"/>
      <c r="AF115" s="37"/>
      <c r="AG115" s="118">
        <f t="shared" si="9"/>
        <v>0</v>
      </c>
    </row>
    <row r="116" spans="1:33" ht="20.25" customHeight="1">
      <c r="A116" s="90"/>
      <c r="B116" s="150" t="s">
        <v>175</v>
      </c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2">
        <f>AC116+AD116</f>
        <v>149602679.07999998</v>
      </c>
      <c r="AC116" s="152">
        <f>AC114+AC112+AC103+AC101+AC50+AC48+AC10+AC109</f>
        <v>134260546.22</v>
      </c>
      <c r="AD116" s="152">
        <f>AD114+AD112+AD103+AD101+AD50+AD48+AD10+AD109</f>
        <v>15342132.859999998</v>
      </c>
      <c r="AE116" s="152">
        <f>AE114+AE112+AE103+AE101+AE50+AE48+AE10+AE109</f>
        <v>15342132.859999998</v>
      </c>
      <c r="AF116" s="152">
        <f>AF114+AF112+AF103+AF101+AF50+AF48+AF10+AF109</f>
        <v>70440598.50999999</v>
      </c>
      <c r="AG116" s="153">
        <f t="shared" si="9"/>
        <v>47.085118356959306</v>
      </c>
    </row>
    <row r="117" spans="1:33" ht="15.75" customHeight="1">
      <c r="A117" s="197" t="s">
        <v>169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9"/>
    </row>
    <row r="118" spans="1:33" ht="18" customHeight="1">
      <c r="A118" s="136" t="s">
        <v>41</v>
      </c>
      <c r="B118" s="137" t="s">
        <v>37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138">
        <f>AB119</f>
        <v>300000</v>
      </c>
      <c r="AC118" s="139"/>
      <c r="AD118" s="139">
        <f>AD119</f>
        <v>300000</v>
      </c>
      <c r="AE118" s="139">
        <f>AE119</f>
        <v>300000</v>
      </c>
      <c r="AF118" s="140"/>
      <c r="AG118" s="141">
        <f>AF118/AB118*100</f>
        <v>0</v>
      </c>
    </row>
    <row r="119" spans="1:33" ht="33" customHeight="1">
      <c r="A119" s="90" t="s">
        <v>27</v>
      </c>
      <c r="B119" s="113" t="s">
        <v>170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8">
        <v>300000</v>
      </c>
      <c r="AC119" s="57"/>
      <c r="AD119" s="57">
        <v>300000</v>
      </c>
      <c r="AE119" s="57">
        <v>300000</v>
      </c>
      <c r="AF119" s="37"/>
      <c r="AG119" s="118">
        <f>AF119/AB119*100</f>
        <v>0</v>
      </c>
    </row>
    <row r="120" spans="1:33" ht="18.75" customHeight="1">
      <c r="A120" s="87"/>
      <c r="B120" s="148" t="s">
        <v>176</v>
      </c>
      <c r="C120" s="88">
        <f aca="true" t="shared" si="20" ref="C120:AA120">C101+C50+C103</f>
        <v>9203452</v>
      </c>
      <c r="D120" s="88">
        <f t="shared" si="20"/>
        <v>9203452</v>
      </c>
      <c r="E120" s="88">
        <f t="shared" si="20"/>
        <v>9203452</v>
      </c>
      <c r="F120" s="88">
        <f t="shared" si="20"/>
        <v>9203452</v>
      </c>
      <c r="G120" s="88">
        <f t="shared" si="20"/>
        <v>9203452</v>
      </c>
      <c r="H120" s="88">
        <f t="shared" si="20"/>
        <v>9203452</v>
      </c>
      <c r="I120" s="88">
        <f t="shared" si="20"/>
        <v>9203452</v>
      </c>
      <c r="J120" s="88">
        <f t="shared" si="20"/>
        <v>9203452</v>
      </c>
      <c r="K120" s="88">
        <f t="shared" si="20"/>
        <v>9203452</v>
      </c>
      <c r="L120" s="88">
        <f t="shared" si="20"/>
        <v>9203452</v>
      </c>
      <c r="M120" s="88">
        <f t="shared" si="20"/>
        <v>9203452</v>
      </c>
      <c r="N120" s="88">
        <f t="shared" si="20"/>
        <v>9203452</v>
      </c>
      <c r="O120" s="88">
        <f t="shared" si="20"/>
        <v>9203452</v>
      </c>
      <c r="P120" s="88">
        <f t="shared" si="20"/>
        <v>9203452</v>
      </c>
      <c r="Q120" s="88">
        <f t="shared" si="20"/>
        <v>9203452</v>
      </c>
      <c r="R120" s="88">
        <f t="shared" si="20"/>
        <v>9203452</v>
      </c>
      <c r="S120" s="88">
        <f t="shared" si="20"/>
        <v>9203452</v>
      </c>
      <c r="T120" s="88">
        <f t="shared" si="20"/>
        <v>9203452</v>
      </c>
      <c r="U120" s="88">
        <f t="shared" si="20"/>
        <v>9203452</v>
      </c>
      <c r="V120" s="88">
        <f t="shared" si="20"/>
        <v>9203452</v>
      </c>
      <c r="W120" s="88">
        <f t="shared" si="20"/>
        <v>9203452</v>
      </c>
      <c r="X120" s="88">
        <f t="shared" si="20"/>
        <v>9203452</v>
      </c>
      <c r="Y120" s="88">
        <f t="shared" si="20"/>
        <v>9203452</v>
      </c>
      <c r="Z120" s="88">
        <f t="shared" si="20"/>
        <v>9203452</v>
      </c>
      <c r="AA120" s="88">
        <f t="shared" si="20"/>
        <v>9203452</v>
      </c>
      <c r="AB120" s="88">
        <f>AC120+AD120</f>
        <v>149902679.07999998</v>
      </c>
      <c r="AC120" s="88">
        <f>AC116+AC118</f>
        <v>134260546.22</v>
      </c>
      <c r="AD120" s="88">
        <f>AD116+AD118</f>
        <v>15642132.859999998</v>
      </c>
      <c r="AE120" s="88">
        <f>AE116+AE118</f>
        <v>15642132.859999998</v>
      </c>
      <c r="AF120" s="88">
        <f>AF116+AF118</f>
        <v>70440598.50999999</v>
      </c>
      <c r="AG120" s="117">
        <f>AF120/AB120*100</f>
        <v>46.99088698235159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78"/>
    </row>
    <row r="123" spans="1:32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79"/>
      <c r="AF123" s="4" t="s">
        <v>180</v>
      </c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78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78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79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8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8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ht="12.75">
      <c r="AD135" s="33"/>
    </row>
    <row r="136" ht="12.75">
      <c r="AD136" s="79"/>
    </row>
    <row r="137" ht="12.75">
      <c r="AD137" s="33"/>
    </row>
    <row r="138" ht="12.75">
      <c r="AD138" s="33"/>
    </row>
    <row r="139" ht="12.75">
      <c r="AD139" s="80"/>
    </row>
    <row r="140" ht="12.75">
      <c r="AD140" s="80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1"/>
    </row>
    <row r="147" ht="12.75">
      <c r="AD147" s="82"/>
    </row>
    <row r="148" ht="15">
      <c r="AD148" s="81"/>
    </row>
    <row r="149" ht="12.75">
      <c r="AD149" s="33"/>
    </row>
    <row r="150" ht="12.75">
      <c r="AD150" s="33"/>
    </row>
    <row r="151" ht="12.75">
      <c r="AD151" s="33"/>
    </row>
    <row r="152" ht="15">
      <c r="AD152" s="81"/>
    </row>
    <row r="153" ht="12.75">
      <c r="AD153" s="82"/>
    </row>
    <row r="154" ht="12.75">
      <c r="AD154" s="33"/>
    </row>
    <row r="157" ht="18">
      <c r="AD157" s="4"/>
    </row>
  </sheetData>
  <sheetProtection/>
  <mergeCells count="12">
    <mergeCell ref="A9:AG9"/>
    <mergeCell ref="A117:AG117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2019-09-04T12:03:28Z</cp:lastPrinted>
  <dcterms:created xsi:type="dcterms:W3CDTF">2014-01-17T10:52:16Z</dcterms:created>
  <dcterms:modified xsi:type="dcterms:W3CDTF">2019-09-04T12:06:43Z</dcterms:modified>
  <cp:category/>
  <cp:version/>
  <cp:contentType/>
  <cp:contentStatus/>
</cp:coreProperties>
</file>